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Zał.1_WPF_bazowy " sheetId="8" r:id="rId1"/>
    <sheet name="Zał. 3-Przedsięwzięcia" sheetId="6" r:id="rId2"/>
    <sheet name="Arkusz1" sheetId="1" r:id="rId3"/>
    <sheet name="Arkusz2" sheetId="2" r:id="rId4"/>
    <sheet name="Arkusz3" sheetId="3" r:id="rId5"/>
  </sheets>
  <externalReferences>
    <externalReference r:id="rId6"/>
  </externalReferences>
  <definedNames>
    <definedName name="_xlnm._FilterDatabase" localSheetId="0" hidden="1">'Zał.1_WPF_bazowy '!$A$5:$A$106</definedName>
    <definedName name="_xlnm.Print_Area" localSheetId="1">'Zał. 3-Przedsięwzięcia'!$A$1:$S$89</definedName>
    <definedName name="_xlnm.Print_Area" localSheetId="0">'Zał.1_WPF_bazowy '!$B$1:$R$110</definedName>
    <definedName name="_xlnm.Print_Titles" localSheetId="1">'Zał. 3-Przedsięwzięcia'!$5:$6</definedName>
    <definedName name="Z_9360F695_77C0_4418_82C5_829A762C44E9_.wvu.Cols" localSheetId="0" hidden="1">'Zał.1_WPF_bazowy '!$A$1:$A$65532,'Zał.1_WPF_bazowy '!$C$1:$C$65532</definedName>
    <definedName name="Z_9360F695_77C0_4418_82C5_829A762C44E9_.wvu.FilterData" localSheetId="0" hidden="1">'Zał.1_WPF_bazowy '!$A$5:$A$106</definedName>
    <definedName name="Z_9360F695_77C0_4418_82C5_829A762C44E9_.wvu.PrintArea" localSheetId="0" hidden="1">'Zał.1_WPF_bazowy '!$B$5:$AL$106</definedName>
    <definedName name="Z_9360F695_77C0_4418_82C5_829A762C44E9_.wvu.PrintTitles" localSheetId="0" hidden="1">'Zał.1_WPF_bazowy '!$B$1:$D$65532,'Zał.1_WPF_bazowy '!$A$5:$IV$5</definedName>
  </definedNames>
  <calcPr calcId="145621"/>
</workbook>
</file>

<file path=xl/calcChain.xml><?xml version="1.0" encoding="utf-8"?>
<calcChain xmlns="http://schemas.openxmlformats.org/spreadsheetml/2006/main">
  <c r="E199" i="8" l="1"/>
  <c r="E198" i="8"/>
  <c r="E197" i="8"/>
  <c r="E191" i="8"/>
  <c r="E190" i="8"/>
  <c r="E189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AL108" i="8"/>
  <c r="AL154" i="8" s="1"/>
  <c r="AK108" i="8"/>
  <c r="AK154" i="8" s="1"/>
  <c r="AJ108" i="8"/>
  <c r="AJ154" i="8" s="1"/>
  <c r="AI108" i="8"/>
  <c r="AI154" i="8" s="1"/>
  <c r="AH108" i="8"/>
  <c r="AH154" i="8" s="1"/>
  <c r="AG108" i="8"/>
  <c r="AG154" i="8" s="1"/>
  <c r="AF108" i="8"/>
  <c r="AF154" i="8" s="1"/>
  <c r="AE108" i="8"/>
  <c r="AE154" i="8" s="1"/>
  <c r="AD108" i="8"/>
  <c r="AD154" i="8" s="1"/>
  <c r="AC108" i="8"/>
  <c r="AC154" i="8" s="1"/>
  <c r="AB108" i="8"/>
  <c r="AB154" i="8" s="1"/>
  <c r="AA108" i="8"/>
  <c r="AA154" i="8" s="1"/>
  <c r="Z108" i="8"/>
  <c r="Z154" i="8" s="1"/>
  <c r="Y108" i="8"/>
  <c r="Y154" i="8" s="1"/>
  <c r="X108" i="8"/>
  <c r="X154" i="8" s="1"/>
  <c r="W108" i="8"/>
  <c r="W154" i="8" s="1"/>
  <c r="V108" i="8"/>
  <c r="V154" i="8" s="1"/>
  <c r="U108" i="8"/>
  <c r="U154" i="8" s="1"/>
  <c r="T108" i="8"/>
  <c r="T154" i="8" s="1"/>
  <c r="S108" i="8"/>
  <c r="S154" i="8" s="1"/>
  <c r="R108" i="8"/>
  <c r="R154" i="8" s="1"/>
  <c r="Q108" i="8"/>
  <c r="Q154" i="8" s="1"/>
  <c r="P108" i="8"/>
  <c r="P154" i="8" s="1"/>
  <c r="O108" i="8"/>
  <c r="O154" i="8" s="1"/>
  <c r="N108" i="8"/>
  <c r="N154" i="8" s="1"/>
  <c r="M108" i="8"/>
  <c r="M154" i="8" s="1"/>
  <c r="L108" i="8"/>
  <c r="L154" i="8" s="1"/>
  <c r="K108" i="8"/>
  <c r="K154" i="8" s="1"/>
  <c r="J108" i="8"/>
  <c r="J154" i="8" s="1"/>
  <c r="I108" i="8"/>
  <c r="I154" i="8" s="1"/>
  <c r="H108" i="8"/>
  <c r="G108" i="8"/>
  <c r="F108" i="8"/>
  <c r="E108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AL102" i="8"/>
  <c r="AL153" i="8" s="1"/>
  <c r="AK102" i="8"/>
  <c r="AK153" i="8" s="1"/>
  <c r="AJ102" i="8"/>
  <c r="AJ153" i="8" s="1"/>
  <c r="AI102" i="8"/>
  <c r="AI153" i="8" s="1"/>
  <c r="AH102" i="8"/>
  <c r="AH153" i="8" s="1"/>
  <c r="AG102" i="8"/>
  <c r="AG153" i="8" s="1"/>
  <c r="AF102" i="8"/>
  <c r="AF153" i="8" s="1"/>
  <c r="AE102" i="8"/>
  <c r="AE153" i="8" s="1"/>
  <c r="AD102" i="8"/>
  <c r="AD153" i="8" s="1"/>
  <c r="AC102" i="8"/>
  <c r="AC153" i="8" s="1"/>
  <c r="AB102" i="8"/>
  <c r="AB153" i="8" s="1"/>
  <c r="AA102" i="8"/>
  <c r="AA153" i="8" s="1"/>
  <c r="Z102" i="8"/>
  <c r="Z153" i="8" s="1"/>
  <c r="Y102" i="8"/>
  <c r="Y153" i="8" s="1"/>
  <c r="X102" i="8"/>
  <c r="X153" i="8" s="1"/>
  <c r="W102" i="8"/>
  <c r="W153" i="8" s="1"/>
  <c r="V102" i="8"/>
  <c r="V153" i="8" s="1"/>
  <c r="U102" i="8"/>
  <c r="U153" i="8" s="1"/>
  <c r="T102" i="8"/>
  <c r="T153" i="8" s="1"/>
  <c r="S102" i="8"/>
  <c r="S153" i="8" s="1"/>
  <c r="R102" i="8"/>
  <c r="R153" i="8" s="1"/>
  <c r="Q102" i="8"/>
  <c r="Q153" i="8" s="1"/>
  <c r="P102" i="8"/>
  <c r="P153" i="8" s="1"/>
  <c r="O102" i="8"/>
  <c r="O153" i="8" s="1"/>
  <c r="N102" i="8"/>
  <c r="N153" i="8" s="1"/>
  <c r="M102" i="8"/>
  <c r="M153" i="8" s="1"/>
  <c r="L102" i="8"/>
  <c r="L153" i="8" s="1"/>
  <c r="K102" i="8"/>
  <c r="K153" i="8" s="1"/>
  <c r="J102" i="8"/>
  <c r="J153" i="8" s="1"/>
  <c r="I102" i="8"/>
  <c r="I153" i="8" s="1"/>
  <c r="H102" i="8"/>
  <c r="G102" i="8"/>
  <c r="F102" i="8"/>
  <c r="E102" i="8"/>
  <c r="AL101" i="8"/>
  <c r="AK101" i="8"/>
  <c r="AL125" i="8" s="1"/>
  <c r="AJ101" i="8"/>
  <c r="AK125" i="8" s="1"/>
  <c r="AI101" i="8"/>
  <c r="AJ125" i="8" s="1"/>
  <c r="AH101" i="8"/>
  <c r="AI125" i="8" s="1"/>
  <c r="AG101" i="8"/>
  <c r="AH125" i="8" s="1"/>
  <c r="AF101" i="8"/>
  <c r="AG125" i="8" s="1"/>
  <c r="AE101" i="8"/>
  <c r="AF125" i="8" s="1"/>
  <c r="AD101" i="8"/>
  <c r="AE125" i="8" s="1"/>
  <c r="AC101" i="8"/>
  <c r="AD125" i="8" s="1"/>
  <c r="AB101" i="8"/>
  <c r="AC125" i="8" s="1"/>
  <c r="AA101" i="8"/>
  <c r="AB125" i="8" s="1"/>
  <c r="Z101" i="8"/>
  <c r="AA125" i="8" s="1"/>
  <c r="Y101" i="8"/>
  <c r="Z125" i="8" s="1"/>
  <c r="X101" i="8"/>
  <c r="Y125" i="8" s="1"/>
  <c r="W101" i="8"/>
  <c r="X125" i="8" s="1"/>
  <c r="V101" i="8"/>
  <c r="W125" i="8" s="1"/>
  <c r="U101" i="8"/>
  <c r="V125" i="8" s="1"/>
  <c r="T101" i="8"/>
  <c r="U125" i="8" s="1"/>
  <c r="S101" i="8"/>
  <c r="T125" i="8" s="1"/>
  <c r="R101" i="8"/>
  <c r="S125" i="8" s="1"/>
  <c r="Q101" i="8"/>
  <c r="R125" i="8" s="1"/>
  <c r="P101" i="8"/>
  <c r="Q125" i="8" s="1"/>
  <c r="O101" i="8"/>
  <c r="P125" i="8" s="1"/>
  <c r="N101" i="8"/>
  <c r="O125" i="8" s="1"/>
  <c r="M101" i="8"/>
  <c r="N125" i="8" s="1"/>
  <c r="L101" i="8"/>
  <c r="K101" i="8"/>
  <c r="L125" i="8" s="1"/>
  <c r="J101" i="8"/>
  <c r="I101" i="8"/>
  <c r="H101" i="8"/>
  <c r="G101" i="8"/>
  <c r="F101" i="8"/>
  <c r="E101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AL94" i="8"/>
  <c r="AL122" i="8" s="1"/>
  <c r="AK94" i="8"/>
  <c r="AK122" i="8" s="1"/>
  <c r="AJ94" i="8"/>
  <c r="AJ122" i="8" s="1"/>
  <c r="AI94" i="8"/>
  <c r="AI122" i="8" s="1"/>
  <c r="AH94" i="8"/>
  <c r="AH122" i="8" s="1"/>
  <c r="AG94" i="8"/>
  <c r="AG122" i="8" s="1"/>
  <c r="AF94" i="8"/>
  <c r="AF122" i="8" s="1"/>
  <c r="AE94" i="8"/>
  <c r="AE122" i="8" s="1"/>
  <c r="AD94" i="8"/>
  <c r="AD122" i="8" s="1"/>
  <c r="AC94" i="8"/>
  <c r="AC122" i="8" s="1"/>
  <c r="AB94" i="8"/>
  <c r="AB122" i="8" s="1"/>
  <c r="AA94" i="8"/>
  <c r="AA122" i="8" s="1"/>
  <c r="Z94" i="8"/>
  <c r="Z122" i="8" s="1"/>
  <c r="Y94" i="8"/>
  <c r="Y122" i="8" s="1"/>
  <c r="X94" i="8"/>
  <c r="X122" i="8" s="1"/>
  <c r="W94" i="8"/>
  <c r="W122" i="8" s="1"/>
  <c r="V94" i="8"/>
  <c r="V122" i="8" s="1"/>
  <c r="U94" i="8"/>
  <c r="U122" i="8" s="1"/>
  <c r="T94" i="8"/>
  <c r="T122" i="8" s="1"/>
  <c r="S94" i="8"/>
  <c r="S122" i="8" s="1"/>
  <c r="R94" i="8"/>
  <c r="R122" i="8" s="1"/>
  <c r="Q94" i="8"/>
  <c r="Q122" i="8" s="1"/>
  <c r="P94" i="8"/>
  <c r="P122" i="8" s="1"/>
  <c r="O94" i="8"/>
  <c r="O122" i="8" s="1"/>
  <c r="N94" i="8"/>
  <c r="N122" i="8" s="1"/>
  <c r="M94" i="8"/>
  <c r="M122" i="8" s="1"/>
  <c r="L94" i="8"/>
  <c r="L122" i="8" s="1"/>
  <c r="K94" i="8"/>
  <c r="K122" i="8" s="1"/>
  <c r="J94" i="8"/>
  <c r="I94" i="8"/>
  <c r="H94" i="8"/>
  <c r="G94" i="8"/>
  <c r="F94" i="8"/>
  <c r="E94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AL92" i="8"/>
  <c r="AL151" i="8" s="1"/>
  <c r="AK92" i="8"/>
  <c r="AL185" i="8" s="1"/>
  <c r="AJ92" i="8"/>
  <c r="AK185" i="8" s="1"/>
  <c r="AI92" i="8"/>
  <c r="AJ185" i="8" s="1"/>
  <c r="AH92" i="8"/>
  <c r="AI185" i="8" s="1"/>
  <c r="AG92" i="8"/>
  <c r="AH185" i="8" s="1"/>
  <c r="AF92" i="8"/>
  <c r="AG185" i="8" s="1"/>
  <c r="AE92" i="8"/>
  <c r="AF185" i="8" s="1"/>
  <c r="AD92" i="8"/>
  <c r="AE185" i="8" s="1"/>
  <c r="AC92" i="8"/>
  <c r="AD185" i="8" s="1"/>
  <c r="AB92" i="8"/>
  <c r="AC185" i="8" s="1"/>
  <c r="AA92" i="8"/>
  <c r="AB185" i="8" s="1"/>
  <c r="Z92" i="8"/>
  <c r="AA185" i="8" s="1"/>
  <c r="Y92" i="8"/>
  <c r="Z185" i="8" s="1"/>
  <c r="X92" i="8"/>
  <c r="Y185" i="8" s="1"/>
  <c r="W92" i="8"/>
  <c r="X185" i="8" s="1"/>
  <c r="V92" i="8"/>
  <c r="W185" i="8" s="1"/>
  <c r="U92" i="8"/>
  <c r="V185" i="8" s="1"/>
  <c r="T92" i="8"/>
  <c r="U185" i="8" s="1"/>
  <c r="S92" i="8"/>
  <c r="T185" i="8" s="1"/>
  <c r="R92" i="8"/>
  <c r="S185" i="8" s="1"/>
  <c r="Q92" i="8"/>
  <c r="R185" i="8" s="1"/>
  <c r="P92" i="8"/>
  <c r="Q185" i="8" s="1"/>
  <c r="O92" i="8"/>
  <c r="P185" i="8" s="1"/>
  <c r="N92" i="8"/>
  <c r="O185" i="8" s="1"/>
  <c r="M92" i="8"/>
  <c r="N185" i="8" s="1"/>
  <c r="L92" i="8"/>
  <c r="M185" i="8" s="1"/>
  <c r="K92" i="8"/>
  <c r="L185" i="8" s="1"/>
  <c r="J92" i="8"/>
  <c r="K185" i="8" s="1"/>
  <c r="I92" i="8"/>
  <c r="J185" i="8" s="1"/>
  <c r="H92" i="8"/>
  <c r="I185" i="8" s="1"/>
  <c r="G92" i="8"/>
  <c r="F92" i="8"/>
  <c r="H185" i="8" s="1"/>
  <c r="E92" i="8"/>
  <c r="F185" i="8" s="1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AL89" i="8"/>
  <c r="AL150" i="8" s="1"/>
  <c r="AK89" i="8"/>
  <c r="AK150" i="8" s="1"/>
  <c r="AJ89" i="8"/>
  <c r="AJ150" i="8" s="1"/>
  <c r="AI89" i="8"/>
  <c r="AI150" i="8" s="1"/>
  <c r="AH89" i="8"/>
  <c r="AH150" i="8" s="1"/>
  <c r="AG89" i="8"/>
  <c r="AG150" i="8" s="1"/>
  <c r="AF89" i="8"/>
  <c r="AF150" i="8" s="1"/>
  <c r="AE89" i="8"/>
  <c r="AE150" i="8" s="1"/>
  <c r="AD89" i="8"/>
  <c r="AD150" i="8" s="1"/>
  <c r="AC89" i="8"/>
  <c r="AC150" i="8" s="1"/>
  <c r="AB89" i="8"/>
  <c r="AB150" i="8" s="1"/>
  <c r="AA89" i="8"/>
  <c r="AA150" i="8" s="1"/>
  <c r="Z89" i="8"/>
  <c r="Z150" i="8" s="1"/>
  <c r="Y89" i="8"/>
  <c r="Y150" i="8" s="1"/>
  <c r="X89" i="8"/>
  <c r="X150" i="8" s="1"/>
  <c r="W89" i="8"/>
  <c r="W150" i="8" s="1"/>
  <c r="V89" i="8"/>
  <c r="V150" i="8" s="1"/>
  <c r="U89" i="8"/>
  <c r="U150" i="8" s="1"/>
  <c r="T89" i="8"/>
  <c r="T150" i="8" s="1"/>
  <c r="S89" i="8"/>
  <c r="S150" i="8" s="1"/>
  <c r="R89" i="8"/>
  <c r="R150" i="8" s="1"/>
  <c r="Q89" i="8"/>
  <c r="Q150" i="8" s="1"/>
  <c r="P89" i="8"/>
  <c r="P150" i="8" s="1"/>
  <c r="O89" i="8"/>
  <c r="O150" i="8" s="1"/>
  <c r="N89" i="8"/>
  <c r="N150" i="8" s="1"/>
  <c r="M89" i="8"/>
  <c r="M150" i="8" s="1"/>
  <c r="L89" i="8"/>
  <c r="L150" i="8" s="1"/>
  <c r="K89" i="8"/>
  <c r="K150" i="8" s="1"/>
  <c r="J89" i="8"/>
  <c r="J150" i="8" s="1"/>
  <c r="I89" i="8"/>
  <c r="I150" i="8" s="1"/>
  <c r="H89" i="8"/>
  <c r="G89" i="8"/>
  <c r="F89" i="8"/>
  <c r="E89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AL87" i="8"/>
  <c r="AL149" i="8" s="1"/>
  <c r="AK87" i="8"/>
  <c r="AK149" i="8" s="1"/>
  <c r="AJ87" i="8"/>
  <c r="AJ149" i="8" s="1"/>
  <c r="AI87" i="8"/>
  <c r="AI149" i="8" s="1"/>
  <c r="AH87" i="8"/>
  <c r="AH149" i="8" s="1"/>
  <c r="AG87" i="8"/>
  <c r="AG149" i="8" s="1"/>
  <c r="AF87" i="8"/>
  <c r="AF149" i="8" s="1"/>
  <c r="AE87" i="8"/>
  <c r="AE149" i="8" s="1"/>
  <c r="AD87" i="8"/>
  <c r="AD149" i="8" s="1"/>
  <c r="AC87" i="8"/>
  <c r="AC149" i="8" s="1"/>
  <c r="AB87" i="8"/>
  <c r="AB149" i="8" s="1"/>
  <c r="AA87" i="8"/>
  <c r="AA149" i="8" s="1"/>
  <c r="Z87" i="8"/>
  <c r="Z149" i="8" s="1"/>
  <c r="Y87" i="8"/>
  <c r="Y149" i="8" s="1"/>
  <c r="X87" i="8"/>
  <c r="X149" i="8" s="1"/>
  <c r="W87" i="8"/>
  <c r="W149" i="8" s="1"/>
  <c r="V87" i="8"/>
  <c r="V149" i="8" s="1"/>
  <c r="U87" i="8"/>
  <c r="U149" i="8" s="1"/>
  <c r="T87" i="8"/>
  <c r="T149" i="8" s="1"/>
  <c r="S87" i="8"/>
  <c r="S149" i="8" s="1"/>
  <c r="R87" i="8"/>
  <c r="R149" i="8" s="1"/>
  <c r="Q87" i="8"/>
  <c r="Q149" i="8" s="1"/>
  <c r="P87" i="8"/>
  <c r="P149" i="8" s="1"/>
  <c r="O87" i="8"/>
  <c r="O149" i="8" s="1"/>
  <c r="N87" i="8"/>
  <c r="N149" i="8" s="1"/>
  <c r="M87" i="8"/>
  <c r="M149" i="8" s="1"/>
  <c r="L87" i="8"/>
  <c r="L149" i="8" s="1"/>
  <c r="K87" i="8"/>
  <c r="K149" i="8" s="1"/>
  <c r="J87" i="8"/>
  <c r="J149" i="8" s="1"/>
  <c r="I87" i="8"/>
  <c r="I149" i="8" s="1"/>
  <c r="H87" i="8"/>
  <c r="G87" i="8"/>
  <c r="F87" i="8"/>
  <c r="E87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AL85" i="8"/>
  <c r="AL148" i="8" s="1"/>
  <c r="AK85" i="8"/>
  <c r="AK148" i="8" s="1"/>
  <c r="AJ85" i="8"/>
  <c r="AJ148" i="8" s="1"/>
  <c r="AI85" i="8"/>
  <c r="AI148" i="8" s="1"/>
  <c r="AH85" i="8"/>
  <c r="AH148" i="8" s="1"/>
  <c r="AG85" i="8"/>
  <c r="AG148" i="8" s="1"/>
  <c r="AF85" i="8"/>
  <c r="AF148" i="8" s="1"/>
  <c r="AE85" i="8"/>
  <c r="AE148" i="8" s="1"/>
  <c r="AD85" i="8"/>
  <c r="AD148" i="8" s="1"/>
  <c r="AC85" i="8"/>
  <c r="AC148" i="8" s="1"/>
  <c r="AB85" i="8"/>
  <c r="AB148" i="8" s="1"/>
  <c r="AA85" i="8"/>
  <c r="AA148" i="8" s="1"/>
  <c r="Z85" i="8"/>
  <c r="Z148" i="8" s="1"/>
  <c r="Y85" i="8"/>
  <c r="Y148" i="8" s="1"/>
  <c r="X85" i="8"/>
  <c r="X148" i="8" s="1"/>
  <c r="W85" i="8"/>
  <c r="W148" i="8" s="1"/>
  <c r="V85" i="8"/>
  <c r="V148" i="8" s="1"/>
  <c r="U85" i="8"/>
  <c r="U148" i="8" s="1"/>
  <c r="T85" i="8"/>
  <c r="T148" i="8" s="1"/>
  <c r="S85" i="8"/>
  <c r="S148" i="8" s="1"/>
  <c r="R85" i="8"/>
  <c r="R148" i="8" s="1"/>
  <c r="Q85" i="8"/>
  <c r="Q148" i="8" s="1"/>
  <c r="P85" i="8"/>
  <c r="P148" i="8" s="1"/>
  <c r="O85" i="8"/>
  <c r="O148" i="8" s="1"/>
  <c r="N85" i="8"/>
  <c r="N148" i="8" s="1"/>
  <c r="M85" i="8"/>
  <c r="M148" i="8" s="1"/>
  <c r="L85" i="8"/>
  <c r="L148" i="8" s="1"/>
  <c r="K85" i="8"/>
  <c r="K148" i="8" s="1"/>
  <c r="J85" i="8"/>
  <c r="J148" i="8" s="1"/>
  <c r="I85" i="8"/>
  <c r="I148" i="8" s="1"/>
  <c r="H85" i="8"/>
  <c r="G85" i="8"/>
  <c r="F85" i="8"/>
  <c r="E85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AL83" i="8"/>
  <c r="AL147" i="8" s="1"/>
  <c r="AK83" i="8"/>
  <c r="AK147" i="8" s="1"/>
  <c r="AJ83" i="8"/>
  <c r="AJ147" i="8" s="1"/>
  <c r="AI83" i="8"/>
  <c r="AI147" i="8" s="1"/>
  <c r="AH83" i="8"/>
  <c r="AH147" i="8" s="1"/>
  <c r="AG83" i="8"/>
  <c r="AG147" i="8" s="1"/>
  <c r="AF83" i="8"/>
  <c r="AF147" i="8" s="1"/>
  <c r="AE83" i="8"/>
  <c r="AE147" i="8" s="1"/>
  <c r="AD83" i="8"/>
  <c r="AD147" i="8" s="1"/>
  <c r="AC83" i="8"/>
  <c r="AC147" i="8" s="1"/>
  <c r="AB83" i="8"/>
  <c r="AB147" i="8" s="1"/>
  <c r="AA83" i="8"/>
  <c r="AA147" i="8" s="1"/>
  <c r="Z83" i="8"/>
  <c r="Z147" i="8" s="1"/>
  <c r="Y83" i="8"/>
  <c r="Y147" i="8" s="1"/>
  <c r="X83" i="8"/>
  <c r="X147" i="8" s="1"/>
  <c r="W83" i="8"/>
  <c r="W147" i="8" s="1"/>
  <c r="V83" i="8"/>
  <c r="V147" i="8" s="1"/>
  <c r="U83" i="8"/>
  <c r="U147" i="8" s="1"/>
  <c r="T83" i="8"/>
  <c r="T147" i="8" s="1"/>
  <c r="S83" i="8"/>
  <c r="S147" i="8" s="1"/>
  <c r="R83" i="8"/>
  <c r="R147" i="8" s="1"/>
  <c r="Q83" i="8"/>
  <c r="Q147" i="8" s="1"/>
  <c r="P83" i="8"/>
  <c r="P147" i="8" s="1"/>
  <c r="O83" i="8"/>
  <c r="O147" i="8" s="1"/>
  <c r="N83" i="8"/>
  <c r="N147" i="8" s="1"/>
  <c r="M83" i="8"/>
  <c r="M147" i="8" s="1"/>
  <c r="L83" i="8"/>
  <c r="L147" i="8" s="1"/>
  <c r="K83" i="8"/>
  <c r="K147" i="8" s="1"/>
  <c r="J83" i="8"/>
  <c r="J147" i="8" s="1"/>
  <c r="I83" i="8"/>
  <c r="I147" i="8" s="1"/>
  <c r="H83" i="8"/>
  <c r="G83" i="8"/>
  <c r="F83" i="8"/>
  <c r="E83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AL80" i="8"/>
  <c r="AL146" i="8" s="1"/>
  <c r="AK80" i="8"/>
  <c r="AK146" i="8" s="1"/>
  <c r="AJ80" i="8"/>
  <c r="AJ146" i="8" s="1"/>
  <c r="AI80" i="8"/>
  <c r="AI146" i="8" s="1"/>
  <c r="AH80" i="8"/>
  <c r="AH146" i="8" s="1"/>
  <c r="AG80" i="8"/>
  <c r="AG146" i="8" s="1"/>
  <c r="AF80" i="8"/>
  <c r="AF146" i="8" s="1"/>
  <c r="AE80" i="8"/>
  <c r="AE146" i="8" s="1"/>
  <c r="AD80" i="8"/>
  <c r="AD146" i="8" s="1"/>
  <c r="AC80" i="8"/>
  <c r="AC146" i="8" s="1"/>
  <c r="AB80" i="8"/>
  <c r="AB146" i="8" s="1"/>
  <c r="AA80" i="8"/>
  <c r="AA146" i="8" s="1"/>
  <c r="Z80" i="8"/>
  <c r="Z146" i="8" s="1"/>
  <c r="Y80" i="8"/>
  <c r="Y146" i="8" s="1"/>
  <c r="X80" i="8"/>
  <c r="X146" i="8" s="1"/>
  <c r="W80" i="8"/>
  <c r="W146" i="8" s="1"/>
  <c r="V80" i="8"/>
  <c r="V146" i="8" s="1"/>
  <c r="U80" i="8"/>
  <c r="U146" i="8" s="1"/>
  <c r="T80" i="8"/>
  <c r="T146" i="8" s="1"/>
  <c r="S80" i="8"/>
  <c r="S146" i="8" s="1"/>
  <c r="R80" i="8"/>
  <c r="R146" i="8" s="1"/>
  <c r="Q80" i="8"/>
  <c r="Q146" i="8" s="1"/>
  <c r="P80" i="8"/>
  <c r="P146" i="8" s="1"/>
  <c r="O80" i="8"/>
  <c r="O146" i="8" s="1"/>
  <c r="N80" i="8"/>
  <c r="N146" i="8" s="1"/>
  <c r="M80" i="8"/>
  <c r="M146" i="8" s="1"/>
  <c r="L80" i="8"/>
  <c r="L146" i="8" s="1"/>
  <c r="K80" i="8"/>
  <c r="K146" i="8" s="1"/>
  <c r="J80" i="8"/>
  <c r="J146" i="8" s="1"/>
  <c r="I80" i="8"/>
  <c r="I146" i="8" s="1"/>
  <c r="H80" i="8"/>
  <c r="G80" i="8"/>
  <c r="F80" i="8"/>
  <c r="E80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AL77" i="8"/>
  <c r="AL144" i="8" s="1"/>
  <c r="AK77" i="8"/>
  <c r="AK144" i="8" s="1"/>
  <c r="AJ77" i="8"/>
  <c r="AJ144" i="8" s="1"/>
  <c r="AI77" i="8"/>
  <c r="AI144" i="8" s="1"/>
  <c r="AH77" i="8"/>
  <c r="AH144" i="8" s="1"/>
  <c r="AG77" i="8"/>
  <c r="AG144" i="8" s="1"/>
  <c r="AF77" i="8"/>
  <c r="AF144" i="8" s="1"/>
  <c r="AE77" i="8"/>
  <c r="AE144" i="8" s="1"/>
  <c r="AD77" i="8"/>
  <c r="AD144" i="8" s="1"/>
  <c r="AC77" i="8"/>
  <c r="AC144" i="8" s="1"/>
  <c r="AB77" i="8"/>
  <c r="AB144" i="8" s="1"/>
  <c r="AA77" i="8"/>
  <c r="AA144" i="8" s="1"/>
  <c r="Z77" i="8"/>
  <c r="Z144" i="8" s="1"/>
  <c r="Y77" i="8"/>
  <c r="Y144" i="8" s="1"/>
  <c r="X77" i="8"/>
  <c r="X144" i="8" s="1"/>
  <c r="W77" i="8"/>
  <c r="W144" i="8" s="1"/>
  <c r="V77" i="8"/>
  <c r="V144" i="8" s="1"/>
  <c r="U77" i="8"/>
  <c r="U144" i="8" s="1"/>
  <c r="T77" i="8"/>
  <c r="T144" i="8" s="1"/>
  <c r="S77" i="8"/>
  <c r="S144" i="8" s="1"/>
  <c r="R77" i="8"/>
  <c r="R144" i="8" s="1"/>
  <c r="Q77" i="8"/>
  <c r="Q144" i="8" s="1"/>
  <c r="P77" i="8"/>
  <c r="P144" i="8" s="1"/>
  <c r="O77" i="8"/>
  <c r="O144" i="8" s="1"/>
  <c r="N77" i="8"/>
  <c r="N144" i="8" s="1"/>
  <c r="M77" i="8"/>
  <c r="M144" i="8" s="1"/>
  <c r="L77" i="8"/>
  <c r="L144" i="8" s="1"/>
  <c r="K77" i="8"/>
  <c r="K144" i="8" s="1"/>
  <c r="J77" i="8"/>
  <c r="J144" i="8" s="1"/>
  <c r="I77" i="8"/>
  <c r="I144" i="8" s="1"/>
  <c r="H77" i="8"/>
  <c r="G77" i="8"/>
  <c r="F77" i="8"/>
  <c r="E77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AL75" i="8"/>
  <c r="AL142" i="8" s="1"/>
  <c r="AK75" i="8"/>
  <c r="AK142" i="8" s="1"/>
  <c r="AJ75" i="8"/>
  <c r="AJ142" i="8" s="1"/>
  <c r="AI75" i="8"/>
  <c r="AI142" i="8" s="1"/>
  <c r="AH75" i="8"/>
  <c r="AH142" i="8" s="1"/>
  <c r="AG75" i="8"/>
  <c r="AG142" i="8" s="1"/>
  <c r="AF75" i="8"/>
  <c r="AF142" i="8" s="1"/>
  <c r="AE75" i="8"/>
  <c r="AE142" i="8" s="1"/>
  <c r="AD75" i="8"/>
  <c r="AD142" i="8" s="1"/>
  <c r="AC75" i="8"/>
  <c r="AC142" i="8" s="1"/>
  <c r="AB75" i="8"/>
  <c r="AB142" i="8" s="1"/>
  <c r="AA75" i="8"/>
  <c r="AA142" i="8" s="1"/>
  <c r="Z75" i="8"/>
  <c r="Z142" i="8" s="1"/>
  <c r="Y75" i="8"/>
  <c r="Y142" i="8" s="1"/>
  <c r="X75" i="8"/>
  <c r="X142" i="8" s="1"/>
  <c r="W75" i="8"/>
  <c r="W142" i="8" s="1"/>
  <c r="V75" i="8"/>
  <c r="V142" i="8" s="1"/>
  <c r="U75" i="8"/>
  <c r="U142" i="8" s="1"/>
  <c r="T75" i="8"/>
  <c r="T142" i="8" s="1"/>
  <c r="S75" i="8"/>
  <c r="S142" i="8" s="1"/>
  <c r="R75" i="8"/>
  <c r="R142" i="8" s="1"/>
  <c r="Q75" i="8"/>
  <c r="Q142" i="8" s="1"/>
  <c r="P75" i="8"/>
  <c r="P142" i="8" s="1"/>
  <c r="O75" i="8"/>
  <c r="O142" i="8" s="1"/>
  <c r="N75" i="8"/>
  <c r="N142" i="8" s="1"/>
  <c r="M75" i="8"/>
  <c r="M142" i="8" s="1"/>
  <c r="L75" i="8"/>
  <c r="L142" i="8" s="1"/>
  <c r="K75" i="8"/>
  <c r="K142" i="8" s="1"/>
  <c r="J75" i="8"/>
  <c r="J142" i="8" s="1"/>
  <c r="I75" i="8"/>
  <c r="I142" i="8" s="1"/>
  <c r="H75" i="8"/>
  <c r="G75" i="8"/>
  <c r="F75" i="8"/>
  <c r="E75" i="8"/>
  <c r="AL74" i="8"/>
  <c r="AL141" i="8" s="1"/>
  <c r="AK74" i="8"/>
  <c r="AK141" i="8" s="1"/>
  <c r="AJ74" i="8"/>
  <c r="AJ141" i="8" s="1"/>
  <c r="AI74" i="8"/>
  <c r="AI141" i="8" s="1"/>
  <c r="AH74" i="8"/>
  <c r="AH141" i="8" s="1"/>
  <c r="AG74" i="8"/>
  <c r="AG141" i="8" s="1"/>
  <c r="AF74" i="8"/>
  <c r="AF141" i="8" s="1"/>
  <c r="AE74" i="8"/>
  <c r="AE141" i="8" s="1"/>
  <c r="AD74" i="8"/>
  <c r="AD141" i="8" s="1"/>
  <c r="AC74" i="8"/>
  <c r="AC141" i="8" s="1"/>
  <c r="AB74" i="8"/>
  <c r="AB141" i="8" s="1"/>
  <c r="AA74" i="8"/>
  <c r="AA141" i="8" s="1"/>
  <c r="Z74" i="8"/>
  <c r="Z141" i="8" s="1"/>
  <c r="Y74" i="8"/>
  <c r="Y141" i="8" s="1"/>
  <c r="X74" i="8"/>
  <c r="X141" i="8" s="1"/>
  <c r="W74" i="8"/>
  <c r="W141" i="8" s="1"/>
  <c r="V74" i="8"/>
  <c r="V141" i="8" s="1"/>
  <c r="U74" i="8"/>
  <c r="U141" i="8" s="1"/>
  <c r="T74" i="8"/>
  <c r="T141" i="8" s="1"/>
  <c r="S74" i="8"/>
  <c r="S141" i="8" s="1"/>
  <c r="R74" i="8"/>
  <c r="R141" i="8" s="1"/>
  <c r="Q74" i="8"/>
  <c r="Q141" i="8" s="1"/>
  <c r="P74" i="8"/>
  <c r="P141" i="8" s="1"/>
  <c r="O74" i="8"/>
  <c r="O141" i="8" s="1"/>
  <c r="N74" i="8"/>
  <c r="N141" i="8" s="1"/>
  <c r="M74" i="8"/>
  <c r="M141" i="8" s="1"/>
  <c r="L74" i="8"/>
  <c r="L141" i="8" s="1"/>
  <c r="K74" i="8"/>
  <c r="K141" i="8" s="1"/>
  <c r="J74" i="8"/>
  <c r="J141" i="8" s="1"/>
  <c r="I74" i="8"/>
  <c r="I141" i="8" s="1"/>
  <c r="H74" i="8"/>
  <c r="G74" i="8"/>
  <c r="F74" i="8"/>
  <c r="E74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AL72" i="8"/>
  <c r="AL140" i="8" s="1"/>
  <c r="AK72" i="8"/>
  <c r="AK140" i="8" s="1"/>
  <c r="AJ72" i="8"/>
  <c r="AJ140" i="8" s="1"/>
  <c r="AI72" i="8"/>
  <c r="AI140" i="8" s="1"/>
  <c r="AH72" i="8"/>
  <c r="AH140" i="8" s="1"/>
  <c r="AG72" i="8"/>
  <c r="AG140" i="8" s="1"/>
  <c r="AF72" i="8"/>
  <c r="AF140" i="8" s="1"/>
  <c r="AE72" i="8"/>
  <c r="AE140" i="8" s="1"/>
  <c r="AD72" i="8"/>
  <c r="AD140" i="8" s="1"/>
  <c r="AC72" i="8"/>
  <c r="AC140" i="8" s="1"/>
  <c r="AB72" i="8"/>
  <c r="AB140" i="8" s="1"/>
  <c r="AA72" i="8"/>
  <c r="AA140" i="8" s="1"/>
  <c r="Z72" i="8"/>
  <c r="Z140" i="8" s="1"/>
  <c r="Y72" i="8"/>
  <c r="Y140" i="8" s="1"/>
  <c r="X72" i="8"/>
  <c r="X140" i="8" s="1"/>
  <c r="W72" i="8"/>
  <c r="W140" i="8" s="1"/>
  <c r="V72" i="8"/>
  <c r="V140" i="8" s="1"/>
  <c r="U72" i="8"/>
  <c r="U140" i="8" s="1"/>
  <c r="T72" i="8"/>
  <c r="T140" i="8" s="1"/>
  <c r="S72" i="8"/>
  <c r="S140" i="8" s="1"/>
  <c r="R72" i="8"/>
  <c r="R140" i="8" s="1"/>
  <c r="Q72" i="8"/>
  <c r="Q140" i="8" s="1"/>
  <c r="P72" i="8"/>
  <c r="P140" i="8" s="1"/>
  <c r="O72" i="8"/>
  <c r="O140" i="8" s="1"/>
  <c r="N72" i="8"/>
  <c r="N140" i="8" s="1"/>
  <c r="M72" i="8"/>
  <c r="M140" i="8" s="1"/>
  <c r="L72" i="8"/>
  <c r="L140" i="8" s="1"/>
  <c r="K72" i="8"/>
  <c r="K140" i="8" s="1"/>
  <c r="J72" i="8"/>
  <c r="J140" i="8" s="1"/>
  <c r="I72" i="8"/>
  <c r="I140" i="8" s="1"/>
  <c r="H72" i="8"/>
  <c r="G72" i="8"/>
  <c r="F72" i="8"/>
  <c r="E72" i="8"/>
  <c r="AL71" i="8"/>
  <c r="AL139" i="8" s="1"/>
  <c r="AK71" i="8"/>
  <c r="AK139" i="8" s="1"/>
  <c r="AJ71" i="8"/>
  <c r="AJ139" i="8" s="1"/>
  <c r="AI71" i="8"/>
  <c r="AI139" i="8" s="1"/>
  <c r="AH71" i="8"/>
  <c r="AH139" i="8" s="1"/>
  <c r="AG71" i="8"/>
  <c r="AG139" i="8" s="1"/>
  <c r="AF71" i="8"/>
  <c r="AF139" i="8" s="1"/>
  <c r="AE71" i="8"/>
  <c r="AE139" i="8" s="1"/>
  <c r="AD71" i="8"/>
  <c r="AD139" i="8" s="1"/>
  <c r="AC71" i="8"/>
  <c r="AC139" i="8" s="1"/>
  <c r="AB71" i="8"/>
  <c r="AB139" i="8" s="1"/>
  <c r="AA71" i="8"/>
  <c r="AA139" i="8" s="1"/>
  <c r="Z71" i="8"/>
  <c r="Z139" i="8" s="1"/>
  <c r="Y71" i="8"/>
  <c r="Y139" i="8" s="1"/>
  <c r="X71" i="8"/>
  <c r="X139" i="8" s="1"/>
  <c r="W71" i="8"/>
  <c r="W139" i="8" s="1"/>
  <c r="V71" i="8"/>
  <c r="V139" i="8" s="1"/>
  <c r="U71" i="8"/>
  <c r="U139" i="8" s="1"/>
  <c r="T71" i="8"/>
  <c r="T139" i="8" s="1"/>
  <c r="S71" i="8"/>
  <c r="S139" i="8" s="1"/>
  <c r="R71" i="8"/>
  <c r="R139" i="8" s="1"/>
  <c r="Q71" i="8"/>
  <c r="Q139" i="8" s="1"/>
  <c r="P71" i="8"/>
  <c r="P139" i="8" s="1"/>
  <c r="O71" i="8"/>
  <c r="O139" i="8" s="1"/>
  <c r="N71" i="8"/>
  <c r="N139" i="8" s="1"/>
  <c r="M71" i="8"/>
  <c r="M139" i="8" s="1"/>
  <c r="L71" i="8"/>
  <c r="L139" i="8" s="1"/>
  <c r="K71" i="8"/>
  <c r="K139" i="8" s="1"/>
  <c r="J71" i="8"/>
  <c r="J139" i="8" s="1"/>
  <c r="I71" i="8"/>
  <c r="I139" i="8" s="1"/>
  <c r="H71" i="8"/>
  <c r="G71" i="8"/>
  <c r="F71" i="8"/>
  <c r="E71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AL62" i="8"/>
  <c r="AL236" i="8" s="1"/>
  <c r="AK62" i="8"/>
  <c r="AK236" i="8" s="1"/>
  <c r="AJ62" i="8"/>
  <c r="AJ236" i="8" s="1"/>
  <c r="AI62" i="8"/>
  <c r="AI236" i="8" s="1"/>
  <c r="AH62" i="8"/>
  <c r="AH236" i="8" s="1"/>
  <c r="AG62" i="8"/>
  <c r="AG236" i="8" s="1"/>
  <c r="AF62" i="8"/>
  <c r="AF236" i="8" s="1"/>
  <c r="AE62" i="8"/>
  <c r="AE236" i="8" s="1"/>
  <c r="AD62" i="8"/>
  <c r="AD236" i="8" s="1"/>
  <c r="AC62" i="8"/>
  <c r="AC236" i="8" s="1"/>
  <c r="AB62" i="8"/>
  <c r="AB236" i="8" s="1"/>
  <c r="AA62" i="8"/>
  <c r="AA236" i="8" s="1"/>
  <c r="Z62" i="8"/>
  <c r="Z236" i="8" s="1"/>
  <c r="Y62" i="8"/>
  <c r="Y236" i="8" s="1"/>
  <c r="X62" i="8"/>
  <c r="X236" i="8" s="1"/>
  <c r="W62" i="8"/>
  <c r="W236" i="8" s="1"/>
  <c r="V62" i="8"/>
  <c r="V236" i="8" s="1"/>
  <c r="U62" i="8"/>
  <c r="U236" i="8" s="1"/>
  <c r="T62" i="8"/>
  <c r="T236" i="8" s="1"/>
  <c r="S62" i="8"/>
  <c r="S236" i="8" s="1"/>
  <c r="R62" i="8"/>
  <c r="R236" i="8" s="1"/>
  <c r="Q62" i="8"/>
  <c r="Q236" i="8" s="1"/>
  <c r="P62" i="8"/>
  <c r="P236" i="8" s="1"/>
  <c r="O62" i="8"/>
  <c r="O236" i="8" s="1"/>
  <c r="N62" i="8"/>
  <c r="N236" i="8" s="1"/>
  <c r="M62" i="8"/>
  <c r="M236" i="8" s="1"/>
  <c r="L62" i="8"/>
  <c r="L236" i="8" s="1"/>
  <c r="K62" i="8"/>
  <c r="K236" i="8" s="1"/>
  <c r="J62" i="8"/>
  <c r="J236" i="8" s="1"/>
  <c r="I62" i="8"/>
  <c r="I236" i="8" s="1"/>
  <c r="H62" i="8"/>
  <c r="H236" i="8" s="1"/>
  <c r="G62" i="8"/>
  <c r="G236" i="8" s="1"/>
  <c r="F62" i="8"/>
  <c r="F236" i="8" s="1"/>
  <c r="E62" i="8"/>
  <c r="E236" i="8" s="1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AL59" i="8"/>
  <c r="AL138" i="8" s="1"/>
  <c r="AK59" i="8"/>
  <c r="AK138" i="8" s="1"/>
  <c r="AJ59" i="8"/>
  <c r="AJ138" i="8" s="1"/>
  <c r="AI59" i="8"/>
  <c r="AI138" i="8" s="1"/>
  <c r="AH59" i="8"/>
  <c r="AH138" i="8" s="1"/>
  <c r="AG59" i="8"/>
  <c r="AG138" i="8" s="1"/>
  <c r="AF59" i="8"/>
  <c r="AF138" i="8" s="1"/>
  <c r="AE59" i="8"/>
  <c r="AE138" i="8" s="1"/>
  <c r="AD59" i="8"/>
  <c r="AD138" i="8" s="1"/>
  <c r="AC59" i="8"/>
  <c r="AC138" i="8" s="1"/>
  <c r="AB59" i="8"/>
  <c r="AB138" i="8" s="1"/>
  <c r="AA59" i="8"/>
  <c r="AA138" i="8" s="1"/>
  <c r="Z59" i="8"/>
  <c r="Z138" i="8" s="1"/>
  <c r="Y59" i="8"/>
  <c r="Y138" i="8" s="1"/>
  <c r="X59" i="8"/>
  <c r="X138" i="8" s="1"/>
  <c r="W59" i="8"/>
  <c r="W138" i="8" s="1"/>
  <c r="V59" i="8"/>
  <c r="V138" i="8" s="1"/>
  <c r="U59" i="8"/>
  <c r="U138" i="8" s="1"/>
  <c r="T59" i="8"/>
  <c r="T138" i="8" s="1"/>
  <c r="S59" i="8"/>
  <c r="S138" i="8" s="1"/>
  <c r="R59" i="8"/>
  <c r="R138" i="8" s="1"/>
  <c r="Q59" i="8"/>
  <c r="Q138" i="8" s="1"/>
  <c r="P59" i="8"/>
  <c r="P138" i="8" s="1"/>
  <c r="O59" i="8"/>
  <c r="O138" i="8" s="1"/>
  <c r="N59" i="8"/>
  <c r="N138" i="8" s="1"/>
  <c r="M59" i="8"/>
  <c r="M138" i="8" s="1"/>
  <c r="L59" i="8"/>
  <c r="L138" i="8" s="1"/>
  <c r="K59" i="8"/>
  <c r="K138" i="8" s="1"/>
  <c r="J59" i="8"/>
  <c r="J138" i="8" s="1"/>
  <c r="I59" i="8"/>
  <c r="I138" i="8" s="1"/>
  <c r="H59" i="8"/>
  <c r="G59" i="8"/>
  <c r="F59" i="8"/>
  <c r="E59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AL53" i="8"/>
  <c r="AL58" i="8" s="1"/>
  <c r="AK53" i="8"/>
  <c r="AK58" i="8" s="1"/>
  <c r="AJ53" i="8"/>
  <c r="AJ58" i="8" s="1"/>
  <c r="AI53" i="8"/>
  <c r="AI58" i="8" s="1"/>
  <c r="AH53" i="8"/>
  <c r="AH58" i="8" s="1"/>
  <c r="AG53" i="8"/>
  <c r="AG58" i="8" s="1"/>
  <c r="AF53" i="8"/>
  <c r="AF58" i="8" s="1"/>
  <c r="AE53" i="8"/>
  <c r="AE58" i="8" s="1"/>
  <c r="AD53" i="8"/>
  <c r="AD58" i="8" s="1"/>
  <c r="AC53" i="8"/>
  <c r="AC58" i="8" s="1"/>
  <c r="AB53" i="8"/>
  <c r="AB58" i="8" s="1"/>
  <c r="AA53" i="8"/>
  <c r="AA58" i="8" s="1"/>
  <c r="Z53" i="8"/>
  <c r="Z58" i="8" s="1"/>
  <c r="Y53" i="8"/>
  <c r="Y58" i="8" s="1"/>
  <c r="X53" i="8"/>
  <c r="X58" i="8" s="1"/>
  <c r="W53" i="8"/>
  <c r="W58" i="8" s="1"/>
  <c r="V53" i="8"/>
  <c r="V58" i="8" s="1"/>
  <c r="U53" i="8"/>
  <c r="U58" i="8" s="1"/>
  <c r="T53" i="8"/>
  <c r="T58" i="8" s="1"/>
  <c r="S53" i="8"/>
  <c r="S58" i="8" s="1"/>
  <c r="R53" i="8"/>
  <c r="R58" i="8" s="1"/>
  <c r="Q53" i="8"/>
  <c r="Q58" i="8" s="1"/>
  <c r="P53" i="8"/>
  <c r="P58" i="8" s="1"/>
  <c r="O53" i="8"/>
  <c r="O58" i="8" s="1"/>
  <c r="N53" i="8"/>
  <c r="N58" i="8" s="1"/>
  <c r="M53" i="8"/>
  <c r="M58" i="8" s="1"/>
  <c r="L53" i="8"/>
  <c r="L58" i="8" s="1"/>
  <c r="K53" i="8"/>
  <c r="K58" i="8" s="1"/>
  <c r="J53" i="8"/>
  <c r="J58" i="8" s="1"/>
  <c r="I53" i="8"/>
  <c r="I58" i="8" s="1"/>
  <c r="H53" i="8"/>
  <c r="G53" i="8"/>
  <c r="F53" i="8"/>
  <c r="E53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AL45" i="8"/>
  <c r="AL177" i="8" s="1"/>
  <c r="AK45" i="8"/>
  <c r="AK177" i="8" s="1"/>
  <c r="AJ45" i="8"/>
  <c r="AJ177" i="8" s="1"/>
  <c r="AI45" i="8"/>
  <c r="AI177" i="8" s="1"/>
  <c r="AH45" i="8"/>
  <c r="AH177" i="8" s="1"/>
  <c r="AG45" i="8"/>
  <c r="AG177" i="8" s="1"/>
  <c r="AF45" i="8"/>
  <c r="AF177" i="8" s="1"/>
  <c r="AE45" i="8"/>
  <c r="AE177" i="8" s="1"/>
  <c r="AD45" i="8"/>
  <c r="AD177" i="8" s="1"/>
  <c r="AC45" i="8"/>
  <c r="AC177" i="8" s="1"/>
  <c r="AB45" i="8"/>
  <c r="AB177" i="8" s="1"/>
  <c r="AA45" i="8"/>
  <c r="AA177" i="8" s="1"/>
  <c r="Z45" i="8"/>
  <c r="Z177" i="8" s="1"/>
  <c r="Y45" i="8"/>
  <c r="Y177" i="8" s="1"/>
  <c r="X45" i="8"/>
  <c r="X177" i="8" s="1"/>
  <c r="W45" i="8"/>
  <c r="W177" i="8" s="1"/>
  <c r="V45" i="8"/>
  <c r="V177" i="8" s="1"/>
  <c r="U45" i="8"/>
  <c r="U177" i="8" s="1"/>
  <c r="T45" i="8"/>
  <c r="T177" i="8" s="1"/>
  <c r="S45" i="8"/>
  <c r="S177" i="8" s="1"/>
  <c r="R45" i="8"/>
  <c r="R177" i="8" s="1"/>
  <c r="Q45" i="8"/>
  <c r="Q177" i="8" s="1"/>
  <c r="P45" i="8"/>
  <c r="P177" i="8" s="1"/>
  <c r="O45" i="8"/>
  <c r="O177" i="8" s="1"/>
  <c r="N45" i="8"/>
  <c r="N177" i="8" s="1"/>
  <c r="M45" i="8"/>
  <c r="M177" i="8" s="1"/>
  <c r="L45" i="8"/>
  <c r="L177" i="8" s="1"/>
  <c r="K45" i="8"/>
  <c r="K177" i="8" s="1"/>
  <c r="J45" i="8"/>
  <c r="J177" i="8" s="1"/>
  <c r="I45" i="8"/>
  <c r="I177" i="8" s="1"/>
  <c r="H45" i="8"/>
  <c r="G45" i="8"/>
  <c r="F45" i="8"/>
  <c r="E45" i="8"/>
  <c r="AL44" i="8"/>
  <c r="AL176" i="8" s="1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AL38" i="8"/>
  <c r="AL174" i="8" s="1"/>
  <c r="AK38" i="8"/>
  <c r="AK174" i="8" s="1"/>
  <c r="AJ38" i="8"/>
  <c r="AJ174" i="8" s="1"/>
  <c r="AI38" i="8"/>
  <c r="AI174" i="8" s="1"/>
  <c r="AH38" i="8"/>
  <c r="AH174" i="8" s="1"/>
  <c r="AG38" i="8"/>
  <c r="AG174" i="8" s="1"/>
  <c r="AF38" i="8"/>
  <c r="AF174" i="8" s="1"/>
  <c r="AE38" i="8"/>
  <c r="AE174" i="8" s="1"/>
  <c r="AD38" i="8"/>
  <c r="AD174" i="8" s="1"/>
  <c r="AC38" i="8"/>
  <c r="AC174" i="8" s="1"/>
  <c r="AB38" i="8"/>
  <c r="AB174" i="8" s="1"/>
  <c r="AA38" i="8"/>
  <c r="AA174" i="8" s="1"/>
  <c r="Z38" i="8"/>
  <c r="Z174" i="8" s="1"/>
  <c r="Y38" i="8"/>
  <c r="Y174" i="8" s="1"/>
  <c r="X38" i="8"/>
  <c r="X174" i="8" s="1"/>
  <c r="W38" i="8"/>
  <c r="W174" i="8" s="1"/>
  <c r="V38" i="8"/>
  <c r="V174" i="8" s="1"/>
  <c r="U38" i="8"/>
  <c r="U174" i="8" s="1"/>
  <c r="T38" i="8"/>
  <c r="T174" i="8" s="1"/>
  <c r="S38" i="8"/>
  <c r="S174" i="8" s="1"/>
  <c r="R38" i="8"/>
  <c r="R174" i="8" s="1"/>
  <c r="Q38" i="8"/>
  <c r="Q174" i="8" s="1"/>
  <c r="P38" i="8"/>
  <c r="P174" i="8" s="1"/>
  <c r="O38" i="8"/>
  <c r="O174" i="8" s="1"/>
  <c r="N38" i="8"/>
  <c r="N174" i="8" s="1"/>
  <c r="M38" i="8"/>
  <c r="M174" i="8" s="1"/>
  <c r="L38" i="8"/>
  <c r="L174" i="8" s="1"/>
  <c r="K38" i="8"/>
  <c r="K174" i="8" s="1"/>
  <c r="J38" i="8"/>
  <c r="J174" i="8" s="1"/>
  <c r="I38" i="8"/>
  <c r="I174" i="8" s="1"/>
  <c r="H38" i="8"/>
  <c r="G38" i="8"/>
  <c r="F38" i="8"/>
  <c r="E38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AL35" i="8"/>
  <c r="AL171" i="8" s="1"/>
  <c r="AK35" i="8"/>
  <c r="AK171" i="8" s="1"/>
  <c r="AJ35" i="8"/>
  <c r="AJ171" i="8" s="1"/>
  <c r="AI35" i="8"/>
  <c r="AI171" i="8" s="1"/>
  <c r="AH35" i="8"/>
  <c r="AH171" i="8" s="1"/>
  <c r="AG35" i="8"/>
  <c r="AG171" i="8" s="1"/>
  <c r="AF35" i="8"/>
  <c r="AF171" i="8" s="1"/>
  <c r="AE35" i="8"/>
  <c r="AE171" i="8" s="1"/>
  <c r="AD35" i="8"/>
  <c r="AD171" i="8" s="1"/>
  <c r="AC35" i="8"/>
  <c r="AC171" i="8" s="1"/>
  <c r="AB35" i="8"/>
  <c r="AB171" i="8" s="1"/>
  <c r="AA35" i="8"/>
  <c r="AA171" i="8" s="1"/>
  <c r="Z35" i="8"/>
  <c r="Z171" i="8" s="1"/>
  <c r="Y35" i="8"/>
  <c r="Y171" i="8" s="1"/>
  <c r="X35" i="8"/>
  <c r="X171" i="8" s="1"/>
  <c r="W35" i="8"/>
  <c r="W171" i="8" s="1"/>
  <c r="V35" i="8"/>
  <c r="V171" i="8" s="1"/>
  <c r="U35" i="8"/>
  <c r="U171" i="8" s="1"/>
  <c r="T35" i="8"/>
  <c r="T171" i="8" s="1"/>
  <c r="S35" i="8"/>
  <c r="S171" i="8" s="1"/>
  <c r="R35" i="8"/>
  <c r="R171" i="8" s="1"/>
  <c r="Q35" i="8"/>
  <c r="Q171" i="8" s="1"/>
  <c r="P35" i="8"/>
  <c r="P171" i="8" s="1"/>
  <c r="O35" i="8"/>
  <c r="O171" i="8" s="1"/>
  <c r="N35" i="8"/>
  <c r="N171" i="8" s="1"/>
  <c r="M35" i="8"/>
  <c r="M171" i="8" s="1"/>
  <c r="L35" i="8"/>
  <c r="L171" i="8" s="1"/>
  <c r="K35" i="8"/>
  <c r="K171" i="8" s="1"/>
  <c r="J35" i="8"/>
  <c r="J171" i="8" s="1"/>
  <c r="I35" i="8"/>
  <c r="I171" i="8" s="1"/>
  <c r="H35" i="8"/>
  <c r="G35" i="8"/>
  <c r="F35" i="8"/>
  <c r="E35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AL33" i="8"/>
  <c r="AL170" i="8" s="1"/>
  <c r="AK33" i="8"/>
  <c r="AK170" i="8" s="1"/>
  <c r="AJ33" i="8"/>
  <c r="AJ170" i="8" s="1"/>
  <c r="AI33" i="8"/>
  <c r="AI170" i="8" s="1"/>
  <c r="AH33" i="8"/>
  <c r="AH170" i="8" s="1"/>
  <c r="AG33" i="8"/>
  <c r="AG170" i="8" s="1"/>
  <c r="AF33" i="8"/>
  <c r="AF170" i="8" s="1"/>
  <c r="AE33" i="8"/>
  <c r="AE170" i="8" s="1"/>
  <c r="AD33" i="8"/>
  <c r="AD170" i="8" s="1"/>
  <c r="AC33" i="8"/>
  <c r="AC170" i="8" s="1"/>
  <c r="AB33" i="8"/>
  <c r="AB170" i="8" s="1"/>
  <c r="AA33" i="8"/>
  <c r="AA170" i="8" s="1"/>
  <c r="Z33" i="8"/>
  <c r="Z170" i="8" s="1"/>
  <c r="Y33" i="8"/>
  <c r="Y170" i="8" s="1"/>
  <c r="X33" i="8"/>
  <c r="X170" i="8" s="1"/>
  <c r="W33" i="8"/>
  <c r="W170" i="8" s="1"/>
  <c r="V33" i="8"/>
  <c r="V170" i="8" s="1"/>
  <c r="U33" i="8"/>
  <c r="U170" i="8" s="1"/>
  <c r="T33" i="8"/>
  <c r="T170" i="8" s="1"/>
  <c r="S33" i="8"/>
  <c r="S170" i="8" s="1"/>
  <c r="R33" i="8"/>
  <c r="R170" i="8" s="1"/>
  <c r="Q33" i="8"/>
  <c r="Q170" i="8" s="1"/>
  <c r="P33" i="8"/>
  <c r="P170" i="8" s="1"/>
  <c r="O33" i="8"/>
  <c r="O170" i="8" s="1"/>
  <c r="N33" i="8"/>
  <c r="N170" i="8" s="1"/>
  <c r="M33" i="8"/>
  <c r="M170" i="8" s="1"/>
  <c r="L33" i="8"/>
  <c r="L170" i="8" s="1"/>
  <c r="K33" i="8"/>
  <c r="K170" i="8" s="1"/>
  <c r="J33" i="8"/>
  <c r="J170" i="8" s="1"/>
  <c r="I33" i="8"/>
  <c r="I170" i="8" s="1"/>
  <c r="H33" i="8"/>
  <c r="G33" i="8"/>
  <c r="F33" i="8"/>
  <c r="E33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AL31" i="8"/>
  <c r="AL169" i="8" s="1"/>
  <c r="AK31" i="8"/>
  <c r="AK169" i="8" s="1"/>
  <c r="AJ31" i="8"/>
  <c r="AJ169" i="8" s="1"/>
  <c r="AI31" i="8"/>
  <c r="AI169" i="8" s="1"/>
  <c r="AH31" i="8"/>
  <c r="AH169" i="8" s="1"/>
  <c r="AG31" i="8"/>
  <c r="AG169" i="8" s="1"/>
  <c r="AF31" i="8"/>
  <c r="AF169" i="8" s="1"/>
  <c r="AE31" i="8"/>
  <c r="AE169" i="8" s="1"/>
  <c r="AD31" i="8"/>
  <c r="AD169" i="8" s="1"/>
  <c r="AC31" i="8"/>
  <c r="AC169" i="8" s="1"/>
  <c r="AB31" i="8"/>
  <c r="AB169" i="8" s="1"/>
  <c r="AA31" i="8"/>
  <c r="AA169" i="8" s="1"/>
  <c r="Z31" i="8"/>
  <c r="Z169" i="8" s="1"/>
  <c r="Y31" i="8"/>
  <c r="Y169" i="8" s="1"/>
  <c r="X31" i="8"/>
  <c r="X169" i="8" s="1"/>
  <c r="W31" i="8"/>
  <c r="W169" i="8" s="1"/>
  <c r="V31" i="8"/>
  <c r="V169" i="8" s="1"/>
  <c r="U31" i="8"/>
  <c r="U169" i="8" s="1"/>
  <c r="T31" i="8"/>
  <c r="T169" i="8" s="1"/>
  <c r="S31" i="8"/>
  <c r="S169" i="8" s="1"/>
  <c r="R31" i="8"/>
  <c r="R169" i="8" s="1"/>
  <c r="Q31" i="8"/>
  <c r="Q169" i="8" s="1"/>
  <c r="P31" i="8"/>
  <c r="P169" i="8" s="1"/>
  <c r="O31" i="8"/>
  <c r="O169" i="8" s="1"/>
  <c r="N31" i="8"/>
  <c r="N169" i="8" s="1"/>
  <c r="M31" i="8"/>
  <c r="M169" i="8" s="1"/>
  <c r="L31" i="8"/>
  <c r="L169" i="8" s="1"/>
  <c r="K31" i="8"/>
  <c r="K169" i="8" s="1"/>
  <c r="J31" i="8"/>
  <c r="J169" i="8" s="1"/>
  <c r="I31" i="8"/>
  <c r="I169" i="8" s="1"/>
  <c r="H31" i="8"/>
  <c r="G31" i="8"/>
  <c r="F31" i="8"/>
  <c r="E31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L29" i="8"/>
  <c r="AL168" i="8" s="1"/>
  <c r="AK29" i="8"/>
  <c r="AK168" i="8" s="1"/>
  <c r="AJ29" i="8"/>
  <c r="AJ168" i="8" s="1"/>
  <c r="AI29" i="8"/>
  <c r="AI168" i="8" s="1"/>
  <c r="AH29" i="8"/>
  <c r="AH168" i="8" s="1"/>
  <c r="AG29" i="8"/>
  <c r="AG168" i="8" s="1"/>
  <c r="AF29" i="8"/>
  <c r="AF168" i="8" s="1"/>
  <c r="AE29" i="8"/>
  <c r="AE168" i="8" s="1"/>
  <c r="AD29" i="8"/>
  <c r="AD168" i="8" s="1"/>
  <c r="AC29" i="8"/>
  <c r="AC168" i="8" s="1"/>
  <c r="AB29" i="8"/>
  <c r="AB168" i="8" s="1"/>
  <c r="AA29" i="8"/>
  <c r="AA168" i="8" s="1"/>
  <c r="Z29" i="8"/>
  <c r="Z168" i="8" s="1"/>
  <c r="Y29" i="8"/>
  <c r="Y168" i="8" s="1"/>
  <c r="X29" i="8"/>
  <c r="X168" i="8" s="1"/>
  <c r="W29" i="8"/>
  <c r="W168" i="8" s="1"/>
  <c r="V29" i="8"/>
  <c r="V168" i="8" s="1"/>
  <c r="U29" i="8"/>
  <c r="U168" i="8" s="1"/>
  <c r="T29" i="8"/>
  <c r="T168" i="8" s="1"/>
  <c r="S29" i="8"/>
  <c r="S168" i="8" s="1"/>
  <c r="R29" i="8"/>
  <c r="R168" i="8" s="1"/>
  <c r="Q29" i="8"/>
  <c r="Q168" i="8" s="1"/>
  <c r="P29" i="8"/>
  <c r="P168" i="8" s="1"/>
  <c r="O29" i="8"/>
  <c r="O168" i="8" s="1"/>
  <c r="N29" i="8"/>
  <c r="N168" i="8" s="1"/>
  <c r="M29" i="8"/>
  <c r="M168" i="8" s="1"/>
  <c r="L29" i="8"/>
  <c r="L168" i="8" s="1"/>
  <c r="K29" i="8"/>
  <c r="K168" i="8" s="1"/>
  <c r="J29" i="8"/>
  <c r="J168" i="8" s="1"/>
  <c r="I29" i="8"/>
  <c r="I168" i="8" s="1"/>
  <c r="H29" i="8"/>
  <c r="G29" i="8"/>
  <c r="F29" i="8"/>
  <c r="E29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L27" i="8"/>
  <c r="AL136" i="8" s="1"/>
  <c r="AK27" i="8"/>
  <c r="AK136" i="8" s="1"/>
  <c r="AJ27" i="8"/>
  <c r="AJ136" i="8" s="1"/>
  <c r="AI27" i="8"/>
  <c r="AI136" i="8" s="1"/>
  <c r="AH27" i="8"/>
  <c r="AH136" i="8" s="1"/>
  <c r="AG27" i="8"/>
  <c r="AG136" i="8" s="1"/>
  <c r="AF27" i="8"/>
  <c r="AF136" i="8" s="1"/>
  <c r="AE27" i="8"/>
  <c r="AE136" i="8" s="1"/>
  <c r="AD27" i="8"/>
  <c r="AD136" i="8" s="1"/>
  <c r="AC27" i="8"/>
  <c r="AC136" i="8" s="1"/>
  <c r="AB27" i="8"/>
  <c r="AB136" i="8" s="1"/>
  <c r="AA27" i="8"/>
  <c r="AA136" i="8" s="1"/>
  <c r="Z27" i="8"/>
  <c r="Z136" i="8" s="1"/>
  <c r="Y27" i="8"/>
  <c r="Y136" i="8" s="1"/>
  <c r="X27" i="8"/>
  <c r="X136" i="8" s="1"/>
  <c r="W27" i="8"/>
  <c r="W136" i="8" s="1"/>
  <c r="V27" i="8"/>
  <c r="V136" i="8" s="1"/>
  <c r="U27" i="8"/>
  <c r="U136" i="8" s="1"/>
  <c r="T27" i="8"/>
  <c r="T136" i="8" s="1"/>
  <c r="S27" i="8"/>
  <c r="S136" i="8" s="1"/>
  <c r="R27" i="8"/>
  <c r="R136" i="8" s="1"/>
  <c r="Q27" i="8"/>
  <c r="Q136" i="8" s="1"/>
  <c r="P27" i="8"/>
  <c r="P136" i="8" s="1"/>
  <c r="O27" i="8"/>
  <c r="O136" i="8" s="1"/>
  <c r="N27" i="8"/>
  <c r="N136" i="8" s="1"/>
  <c r="M27" i="8"/>
  <c r="M136" i="8" s="1"/>
  <c r="L27" i="8"/>
  <c r="L136" i="8" s="1"/>
  <c r="K27" i="8"/>
  <c r="K136" i="8" s="1"/>
  <c r="J27" i="8"/>
  <c r="J136" i="8" s="1"/>
  <c r="I27" i="8"/>
  <c r="I136" i="8" s="1"/>
  <c r="H27" i="8"/>
  <c r="G27" i="8"/>
  <c r="F27" i="8"/>
  <c r="E27" i="8"/>
  <c r="AL26" i="8"/>
  <c r="AL167" i="8" s="1"/>
  <c r="AK26" i="8"/>
  <c r="AK167" i="8" s="1"/>
  <c r="AJ26" i="8"/>
  <c r="AJ167" i="8" s="1"/>
  <c r="AI26" i="8"/>
  <c r="AI167" i="8" s="1"/>
  <c r="AH26" i="8"/>
  <c r="AH167" i="8" s="1"/>
  <c r="AG26" i="8"/>
  <c r="AG167" i="8" s="1"/>
  <c r="AF26" i="8"/>
  <c r="AF167" i="8" s="1"/>
  <c r="AE26" i="8"/>
  <c r="AE167" i="8" s="1"/>
  <c r="AD26" i="8"/>
  <c r="AD167" i="8" s="1"/>
  <c r="AC26" i="8"/>
  <c r="AC167" i="8" s="1"/>
  <c r="AB26" i="8"/>
  <c r="AB167" i="8" s="1"/>
  <c r="AA26" i="8"/>
  <c r="AA167" i="8" s="1"/>
  <c r="Z26" i="8"/>
  <c r="Z167" i="8" s="1"/>
  <c r="Y26" i="8"/>
  <c r="Y167" i="8" s="1"/>
  <c r="X26" i="8"/>
  <c r="X167" i="8" s="1"/>
  <c r="W26" i="8"/>
  <c r="W167" i="8" s="1"/>
  <c r="V26" i="8"/>
  <c r="V167" i="8" s="1"/>
  <c r="U26" i="8"/>
  <c r="U167" i="8" s="1"/>
  <c r="T26" i="8"/>
  <c r="T167" i="8" s="1"/>
  <c r="S26" i="8"/>
  <c r="S167" i="8" s="1"/>
  <c r="R26" i="8"/>
  <c r="R167" i="8" s="1"/>
  <c r="Q26" i="8"/>
  <c r="Q167" i="8" s="1"/>
  <c r="P26" i="8"/>
  <c r="P167" i="8" s="1"/>
  <c r="O26" i="8"/>
  <c r="O167" i="8" s="1"/>
  <c r="N26" i="8"/>
  <c r="N167" i="8" s="1"/>
  <c r="M26" i="8"/>
  <c r="M167" i="8" s="1"/>
  <c r="L26" i="8"/>
  <c r="L167" i="8" s="1"/>
  <c r="K26" i="8"/>
  <c r="K167" i="8" s="1"/>
  <c r="J26" i="8"/>
  <c r="J167" i="8" s="1"/>
  <c r="I26" i="8"/>
  <c r="I167" i="8" s="1"/>
  <c r="H26" i="8"/>
  <c r="G26" i="8"/>
  <c r="F26" i="8"/>
  <c r="E26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AL23" i="8"/>
  <c r="AL158" i="8" s="1"/>
  <c r="AK23" i="8"/>
  <c r="AK158" i="8" s="1"/>
  <c r="AJ23" i="8"/>
  <c r="AJ158" i="8" s="1"/>
  <c r="AI23" i="8"/>
  <c r="AI158" i="8" s="1"/>
  <c r="AH23" i="8"/>
  <c r="AH158" i="8" s="1"/>
  <c r="AG23" i="8"/>
  <c r="AG158" i="8" s="1"/>
  <c r="AF23" i="8"/>
  <c r="AF158" i="8" s="1"/>
  <c r="AE23" i="8"/>
  <c r="AE158" i="8" s="1"/>
  <c r="AD23" i="8"/>
  <c r="AD158" i="8" s="1"/>
  <c r="AC23" i="8"/>
  <c r="AC158" i="8" s="1"/>
  <c r="AB23" i="8"/>
  <c r="AB158" i="8" s="1"/>
  <c r="AA23" i="8"/>
  <c r="AA158" i="8" s="1"/>
  <c r="Z23" i="8"/>
  <c r="Z158" i="8" s="1"/>
  <c r="Y23" i="8"/>
  <c r="Y158" i="8" s="1"/>
  <c r="X23" i="8"/>
  <c r="X158" i="8" s="1"/>
  <c r="W23" i="8"/>
  <c r="W158" i="8" s="1"/>
  <c r="V23" i="8"/>
  <c r="V158" i="8" s="1"/>
  <c r="U23" i="8"/>
  <c r="U158" i="8" s="1"/>
  <c r="T23" i="8"/>
  <c r="T158" i="8" s="1"/>
  <c r="S23" i="8"/>
  <c r="S158" i="8" s="1"/>
  <c r="R23" i="8"/>
  <c r="R158" i="8" s="1"/>
  <c r="Q23" i="8"/>
  <c r="Q158" i="8" s="1"/>
  <c r="P23" i="8"/>
  <c r="P158" i="8" s="1"/>
  <c r="O23" i="8"/>
  <c r="O158" i="8" s="1"/>
  <c r="N23" i="8"/>
  <c r="N158" i="8" s="1"/>
  <c r="M23" i="8"/>
  <c r="M158" i="8" s="1"/>
  <c r="L23" i="8"/>
  <c r="L158" i="8" s="1"/>
  <c r="K23" i="8"/>
  <c r="K158" i="8" s="1"/>
  <c r="J23" i="8"/>
  <c r="J158" i="8" s="1"/>
  <c r="I23" i="8"/>
  <c r="I158" i="8" s="1"/>
  <c r="H23" i="8"/>
  <c r="G23" i="8"/>
  <c r="F23" i="8"/>
  <c r="E23" i="8"/>
  <c r="AL22" i="8"/>
  <c r="AL178" i="8" s="1"/>
  <c r="AK22" i="8"/>
  <c r="AK178" i="8" s="1"/>
  <c r="AJ22" i="8"/>
  <c r="AJ178" i="8" s="1"/>
  <c r="AI22" i="8"/>
  <c r="AI178" i="8" s="1"/>
  <c r="AH22" i="8"/>
  <c r="AH178" i="8" s="1"/>
  <c r="AG22" i="8"/>
  <c r="AG178" i="8" s="1"/>
  <c r="AF22" i="8"/>
  <c r="AF178" i="8" s="1"/>
  <c r="AE22" i="8"/>
  <c r="AE178" i="8" s="1"/>
  <c r="AD22" i="8"/>
  <c r="AD178" i="8" s="1"/>
  <c r="AC22" i="8"/>
  <c r="AC178" i="8" s="1"/>
  <c r="AB22" i="8"/>
  <c r="AB178" i="8" s="1"/>
  <c r="AA22" i="8"/>
  <c r="AA178" i="8" s="1"/>
  <c r="Z22" i="8"/>
  <c r="Z178" i="8" s="1"/>
  <c r="Y22" i="8"/>
  <c r="Y178" i="8" s="1"/>
  <c r="X22" i="8"/>
  <c r="X178" i="8" s="1"/>
  <c r="W22" i="8"/>
  <c r="W178" i="8" s="1"/>
  <c r="V22" i="8"/>
  <c r="V178" i="8" s="1"/>
  <c r="U22" i="8"/>
  <c r="U178" i="8" s="1"/>
  <c r="T22" i="8"/>
  <c r="T178" i="8" s="1"/>
  <c r="S22" i="8"/>
  <c r="S178" i="8" s="1"/>
  <c r="R22" i="8"/>
  <c r="R178" i="8" s="1"/>
  <c r="Q22" i="8"/>
  <c r="Q178" i="8" s="1"/>
  <c r="P22" i="8"/>
  <c r="P178" i="8" s="1"/>
  <c r="O22" i="8"/>
  <c r="O178" i="8" s="1"/>
  <c r="N22" i="8"/>
  <c r="N178" i="8" s="1"/>
  <c r="M22" i="8"/>
  <c r="M178" i="8" s="1"/>
  <c r="L22" i="8"/>
  <c r="L178" i="8" s="1"/>
  <c r="K22" i="8"/>
  <c r="K178" i="8" s="1"/>
  <c r="J22" i="8"/>
  <c r="J178" i="8" s="1"/>
  <c r="I22" i="8"/>
  <c r="I178" i="8" s="1"/>
  <c r="H22" i="8"/>
  <c r="G22" i="8"/>
  <c r="F22" i="8"/>
  <c r="E22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L19" i="8"/>
  <c r="AL156" i="8" s="1"/>
  <c r="AK19" i="8"/>
  <c r="AK156" i="8" s="1"/>
  <c r="AJ19" i="8"/>
  <c r="AJ156" i="8" s="1"/>
  <c r="AI19" i="8"/>
  <c r="AI156" i="8" s="1"/>
  <c r="AH19" i="8"/>
  <c r="AH156" i="8" s="1"/>
  <c r="AG19" i="8"/>
  <c r="AG156" i="8" s="1"/>
  <c r="AF19" i="8"/>
  <c r="AF156" i="8" s="1"/>
  <c r="AE19" i="8"/>
  <c r="AE156" i="8" s="1"/>
  <c r="AD19" i="8"/>
  <c r="AD156" i="8" s="1"/>
  <c r="AC19" i="8"/>
  <c r="AC156" i="8" s="1"/>
  <c r="AB19" i="8"/>
  <c r="AB156" i="8" s="1"/>
  <c r="AA19" i="8"/>
  <c r="AA156" i="8" s="1"/>
  <c r="Z19" i="8"/>
  <c r="Z156" i="8" s="1"/>
  <c r="Y19" i="8"/>
  <c r="Y156" i="8" s="1"/>
  <c r="X19" i="8"/>
  <c r="X156" i="8" s="1"/>
  <c r="W19" i="8"/>
  <c r="W156" i="8" s="1"/>
  <c r="V19" i="8"/>
  <c r="V156" i="8" s="1"/>
  <c r="U19" i="8"/>
  <c r="U156" i="8" s="1"/>
  <c r="T19" i="8"/>
  <c r="T156" i="8" s="1"/>
  <c r="S19" i="8"/>
  <c r="S156" i="8" s="1"/>
  <c r="R19" i="8"/>
  <c r="R156" i="8" s="1"/>
  <c r="Q19" i="8"/>
  <c r="Q156" i="8" s="1"/>
  <c r="P19" i="8"/>
  <c r="P156" i="8" s="1"/>
  <c r="O19" i="8"/>
  <c r="O156" i="8" s="1"/>
  <c r="N19" i="8"/>
  <c r="N156" i="8" s="1"/>
  <c r="M19" i="8"/>
  <c r="M156" i="8" s="1"/>
  <c r="L19" i="8"/>
  <c r="L156" i="8" s="1"/>
  <c r="K19" i="8"/>
  <c r="K156" i="8" s="1"/>
  <c r="J19" i="8"/>
  <c r="J156" i="8" s="1"/>
  <c r="I19" i="8"/>
  <c r="I156" i="8" s="1"/>
  <c r="H19" i="8"/>
  <c r="G19" i="8"/>
  <c r="F19" i="8"/>
  <c r="E19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L15" i="8"/>
  <c r="AL231" i="8" s="1"/>
  <c r="AK15" i="8"/>
  <c r="AK231" i="8" s="1"/>
  <c r="AJ15" i="8"/>
  <c r="AJ231" i="8" s="1"/>
  <c r="AI15" i="8"/>
  <c r="AI231" i="8" s="1"/>
  <c r="AH15" i="8"/>
  <c r="AH231" i="8" s="1"/>
  <c r="AG15" i="8"/>
  <c r="AG231" i="8" s="1"/>
  <c r="AF15" i="8"/>
  <c r="AF231" i="8" s="1"/>
  <c r="AE15" i="8"/>
  <c r="AE231" i="8" s="1"/>
  <c r="AD15" i="8"/>
  <c r="AD231" i="8" s="1"/>
  <c r="AC15" i="8"/>
  <c r="AC231" i="8" s="1"/>
  <c r="AB15" i="8"/>
  <c r="AB231" i="8" s="1"/>
  <c r="AA15" i="8"/>
  <c r="AA231" i="8" s="1"/>
  <c r="Z15" i="8"/>
  <c r="Z231" i="8" s="1"/>
  <c r="Y15" i="8"/>
  <c r="Y231" i="8" s="1"/>
  <c r="X15" i="8"/>
  <c r="X231" i="8" s="1"/>
  <c r="W15" i="8"/>
  <c r="W231" i="8" s="1"/>
  <c r="V15" i="8"/>
  <c r="V231" i="8" s="1"/>
  <c r="U15" i="8"/>
  <c r="U231" i="8" s="1"/>
  <c r="T15" i="8"/>
  <c r="T231" i="8" s="1"/>
  <c r="S15" i="8"/>
  <c r="S231" i="8" s="1"/>
  <c r="R15" i="8"/>
  <c r="R231" i="8" s="1"/>
  <c r="Q15" i="8"/>
  <c r="Q231" i="8" s="1"/>
  <c r="P15" i="8"/>
  <c r="P231" i="8" s="1"/>
  <c r="O15" i="8"/>
  <c r="O231" i="8" s="1"/>
  <c r="N15" i="8"/>
  <c r="N231" i="8" s="1"/>
  <c r="M15" i="8"/>
  <c r="M231" i="8" s="1"/>
  <c r="L15" i="8"/>
  <c r="L231" i="8" s="1"/>
  <c r="K15" i="8"/>
  <c r="K231" i="8" s="1"/>
  <c r="J15" i="8"/>
  <c r="J231" i="8" s="1"/>
  <c r="I15" i="8"/>
  <c r="I231" i="8" s="1"/>
  <c r="H15" i="8"/>
  <c r="H231" i="8" s="1"/>
  <c r="G15" i="8"/>
  <c r="G231" i="8" s="1"/>
  <c r="F15" i="8"/>
  <c r="F231" i="8" s="1"/>
  <c r="E15" i="8"/>
  <c r="E231" i="8" s="1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L13" i="8"/>
  <c r="AL130" i="8" s="1"/>
  <c r="AK13" i="8"/>
  <c r="AK130" i="8" s="1"/>
  <c r="AJ13" i="8"/>
  <c r="AJ130" i="8" s="1"/>
  <c r="AI13" i="8"/>
  <c r="AI130" i="8" s="1"/>
  <c r="AH13" i="8"/>
  <c r="AH130" i="8" s="1"/>
  <c r="AG13" i="8"/>
  <c r="AG130" i="8" s="1"/>
  <c r="AF13" i="8"/>
  <c r="AF130" i="8" s="1"/>
  <c r="AE13" i="8"/>
  <c r="AE130" i="8" s="1"/>
  <c r="AD13" i="8"/>
  <c r="AD130" i="8" s="1"/>
  <c r="AC13" i="8"/>
  <c r="AC130" i="8" s="1"/>
  <c r="AB13" i="8"/>
  <c r="AB130" i="8" s="1"/>
  <c r="AA13" i="8"/>
  <c r="AA130" i="8" s="1"/>
  <c r="Z13" i="8"/>
  <c r="Z130" i="8" s="1"/>
  <c r="Y13" i="8"/>
  <c r="Y130" i="8" s="1"/>
  <c r="X13" i="8"/>
  <c r="X130" i="8" s="1"/>
  <c r="W13" i="8"/>
  <c r="W130" i="8" s="1"/>
  <c r="V13" i="8"/>
  <c r="V130" i="8" s="1"/>
  <c r="U13" i="8"/>
  <c r="U130" i="8" s="1"/>
  <c r="T13" i="8"/>
  <c r="T130" i="8" s="1"/>
  <c r="S13" i="8"/>
  <c r="S130" i="8" s="1"/>
  <c r="R13" i="8"/>
  <c r="R130" i="8" s="1"/>
  <c r="Q13" i="8"/>
  <c r="Q130" i="8" s="1"/>
  <c r="P13" i="8"/>
  <c r="P130" i="8" s="1"/>
  <c r="O13" i="8"/>
  <c r="O130" i="8" s="1"/>
  <c r="N13" i="8"/>
  <c r="N130" i="8" s="1"/>
  <c r="M13" i="8"/>
  <c r="M130" i="8" s="1"/>
  <c r="L13" i="8"/>
  <c r="L130" i="8" s="1"/>
  <c r="K13" i="8"/>
  <c r="K130" i="8" s="1"/>
  <c r="J13" i="8"/>
  <c r="J130" i="8" s="1"/>
  <c r="I13" i="8"/>
  <c r="I130" i="8" s="1"/>
  <c r="H13" i="8"/>
  <c r="G13" i="8"/>
  <c r="F13" i="8"/>
  <c r="E13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L10" i="8"/>
  <c r="AL129" i="8" s="1"/>
  <c r="AK10" i="8"/>
  <c r="AK129" i="8" s="1"/>
  <c r="AJ10" i="8"/>
  <c r="AJ129" i="8" s="1"/>
  <c r="AI10" i="8"/>
  <c r="AI129" i="8" s="1"/>
  <c r="AH10" i="8"/>
  <c r="AH129" i="8" s="1"/>
  <c r="AG10" i="8"/>
  <c r="AG129" i="8" s="1"/>
  <c r="AF10" i="8"/>
  <c r="AF129" i="8" s="1"/>
  <c r="AE10" i="8"/>
  <c r="AE129" i="8" s="1"/>
  <c r="AD10" i="8"/>
  <c r="AD129" i="8" s="1"/>
  <c r="AC10" i="8"/>
  <c r="AC129" i="8" s="1"/>
  <c r="AB10" i="8"/>
  <c r="AB129" i="8" s="1"/>
  <c r="AA10" i="8"/>
  <c r="AA129" i="8" s="1"/>
  <c r="Z10" i="8"/>
  <c r="Z129" i="8" s="1"/>
  <c r="Y10" i="8"/>
  <c r="Y129" i="8" s="1"/>
  <c r="X10" i="8"/>
  <c r="X129" i="8" s="1"/>
  <c r="W10" i="8"/>
  <c r="W129" i="8" s="1"/>
  <c r="V10" i="8"/>
  <c r="V129" i="8" s="1"/>
  <c r="U10" i="8"/>
  <c r="U129" i="8" s="1"/>
  <c r="T10" i="8"/>
  <c r="T129" i="8" s="1"/>
  <c r="S10" i="8"/>
  <c r="S129" i="8" s="1"/>
  <c r="R10" i="8"/>
  <c r="R129" i="8" s="1"/>
  <c r="Q10" i="8"/>
  <c r="Q129" i="8" s="1"/>
  <c r="P10" i="8"/>
  <c r="P129" i="8" s="1"/>
  <c r="O10" i="8"/>
  <c r="O129" i="8" s="1"/>
  <c r="N10" i="8"/>
  <c r="N129" i="8" s="1"/>
  <c r="M10" i="8"/>
  <c r="M129" i="8" s="1"/>
  <c r="L10" i="8"/>
  <c r="L129" i="8" s="1"/>
  <c r="K10" i="8"/>
  <c r="K129" i="8" s="1"/>
  <c r="J10" i="8"/>
  <c r="J129" i="8" s="1"/>
  <c r="I10" i="8"/>
  <c r="I129" i="8" s="1"/>
  <c r="H10" i="8"/>
  <c r="G10" i="8"/>
  <c r="F10" i="8"/>
  <c r="E10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I5" i="8"/>
  <c r="I54" i="8" s="1"/>
  <c r="S79" i="6"/>
  <c r="I125" i="8" l="1"/>
  <c r="K125" i="8"/>
  <c r="J152" i="8"/>
  <c r="L152" i="8"/>
  <c r="N152" i="8"/>
  <c r="P152" i="8"/>
  <c r="R152" i="8"/>
  <c r="T152" i="8"/>
  <c r="V152" i="8"/>
  <c r="X152" i="8"/>
  <c r="Z152" i="8"/>
  <c r="AB152" i="8"/>
  <c r="AD152" i="8"/>
  <c r="AF152" i="8"/>
  <c r="AH152" i="8"/>
  <c r="AJ152" i="8"/>
  <c r="AL152" i="8"/>
  <c r="M125" i="8"/>
  <c r="J124" i="8"/>
  <c r="L124" i="8"/>
  <c r="N124" i="8"/>
  <c r="P124" i="8"/>
  <c r="R124" i="8"/>
  <c r="T124" i="8"/>
  <c r="V124" i="8"/>
  <c r="X124" i="8"/>
  <c r="Z124" i="8"/>
  <c r="AB124" i="8"/>
  <c r="AD124" i="8"/>
  <c r="AF124" i="8"/>
  <c r="AH124" i="8"/>
  <c r="AJ124" i="8"/>
  <c r="AL124" i="8"/>
  <c r="I152" i="8"/>
  <c r="K152" i="8"/>
  <c r="M152" i="8"/>
  <c r="O152" i="8"/>
  <c r="Q152" i="8"/>
  <c r="S152" i="8"/>
  <c r="U152" i="8"/>
  <c r="W152" i="8"/>
  <c r="Y152" i="8"/>
  <c r="AA152" i="8"/>
  <c r="AC152" i="8"/>
  <c r="AE152" i="8"/>
  <c r="AG152" i="8"/>
  <c r="AI152" i="8"/>
  <c r="AK152" i="8"/>
  <c r="J125" i="8"/>
  <c r="F227" i="8"/>
  <c r="F226" i="8"/>
  <c r="F210" i="8"/>
  <c r="F205" i="8"/>
  <c r="F183" i="8"/>
  <c r="H227" i="8"/>
  <c r="H226" i="8"/>
  <c r="H210" i="8"/>
  <c r="H205" i="8"/>
  <c r="H183" i="8"/>
  <c r="J227" i="8"/>
  <c r="J226" i="8"/>
  <c r="J210" i="8"/>
  <c r="J195" i="8"/>
  <c r="J194" i="8"/>
  <c r="J193" i="8"/>
  <c r="J192" i="8"/>
  <c r="J205" i="8"/>
  <c r="J183" i="8"/>
  <c r="L227" i="8"/>
  <c r="L226" i="8"/>
  <c r="L210" i="8"/>
  <c r="L195" i="8"/>
  <c r="L194" i="8"/>
  <c r="L193" i="8"/>
  <c r="L192" i="8"/>
  <c r="L205" i="8"/>
  <c r="L183" i="8"/>
  <c r="N227" i="8"/>
  <c r="N226" i="8"/>
  <c r="N210" i="8"/>
  <c r="N195" i="8"/>
  <c r="N194" i="8"/>
  <c r="N193" i="8"/>
  <c r="N192" i="8"/>
  <c r="N205" i="8"/>
  <c r="N183" i="8"/>
  <c r="P227" i="8"/>
  <c r="P226" i="8"/>
  <c r="P210" i="8"/>
  <c r="P195" i="8"/>
  <c r="P194" i="8"/>
  <c r="P193" i="8"/>
  <c r="P192" i="8"/>
  <c r="P205" i="8"/>
  <c r="P183" i="8"/>
  <c r="R227" i="8"/>
  <c r="R226" i="8"/>
  <c r="R210" i="8"/>
  <c r="R195" i="8"/>
  <c r="R194" i="8"/>
  <c r="R193" i="8"/>
  <c r="R192" i="8"/>
  <c r="R205" i="8"/>
  <c r="R183" i="8"/>
  <c r="T227" i="8"/>
  <c r="T226" i="8"/>
  <c r="T210" i="8"/>
  <c r="T208" i="8"/>
  <c r="T206" i="8"/>
  <c r="T204" i="8"/>
  <c r="T202" i="8"/>
  <c r="T200" i="8"/>
  <c r="T195" i="8"/>
  <c r="T194" i="8"/>
  <c r="T193" i="8"/>
  <c r="T192" i="8"/>
  <c r="T211" i="8"/>
  <c r="T209" i="8"/>
  <c r="T207" i="8"/>
  <c r="T205" i="8"/>
  <c r="T203" i="8"/>
  <c r="T201" i="8"/>
  <c r="T183" i="8"/>
  <c r="V227" i="8"/>
  <c r="V226" i="8"/>
  <c r="V210" i="8"/>
  <c r="V208" i="8"/>
  <c r="V206" i="8"/>
  <c r="V204" i="8"/>
  <c r="V202" i="8"/>
  <c r="V200" i="8"/>
  <c r="V195" i="8"/>
  <c r="V194" i="8"/>
  <c r="V193" i="8"/>
  <c r="V192" i="8"/>
  <c r="V211" i="8"/>
  <c r="V209" i="8"/>
  <c r="V207" i="8"/>
  <c r="V205" i="8"/>
  <c r="V203" i="8"/>
  <c r="V201" i="8"/>
  <c r="V183" i="8"/>
  <c r="X227" i="8"/>
  <c r="X226" i="8"/>
  <c r="X210" i="8"/>
  <c r="X208" i="8"/>
  <c r="X206" i="8"/>
  <c r="X204" i="8"/>
  <c r="X202" i="8"/>
  <c r="X200" i="8"/>
  <c r="X195" i="8"/>
  <c r="X194" i="8"/>
  <c r="X193" i="8"/>
  <c r="X192" i="8"/>
  <c r="X211" i="8"/>
  <c r="X209" i="8"/>
  <c r="X207" i="8"/>
  <c r="X205" i="8"/>
  <c r="X203" i="8"/>
  <c r="X201" i="8"/>
  <c r="X183" i="8"/>
  <c r="Z227" i="8"/>
  <c r="Z226" i="8"/>
  <c r="Z210" i="8"/>
  <c r="Z208" i="8"/>
  <c r="Z206" i="8"/>
  <c r="Z204" i="8"/>
  <c r="Z202" i="8"/>
  <c r="Z200" i="8"/>
  <c r="Z195" i="8"/>
  <c r="Z194" i="8"/>
  <c r="Z193" i="8"/>
  <c r="Z192" i="8"/>
  <c r="Z211" i="8"/>
  <c r="Z209" i="8"/>
  <c r="Z207" i="8"/>
  <c r="Z205" i="8"/>
  <c r="Z203" i="8"/>
  <c r="Z201" i="8"/>
  <c r="Z183" i="8"/>
  <c r="AB227" i="8"/>
  <c r="AB226" i="8"/>
  <c r="AB210" i="8"/>
  <c r="AB208" i="8"/>
  <c r="AB206" i="8"/>
  <c r="AB204" i="8"/>
  <c r="AB202" i="8"/>
  <c r="AB200" i="8"/>
  <c r="AB195" i="8"/>
  <c r="AB194" i="8"/>
  <c r="AB193" i="8"/>
  <c r="AB192" i="8"/>
  <c r="AB211" i="8"/>
  <c r="AB209" i="8"/>
  <c r="AB207" i="8"/>
  <c r="AB205" i="8"/>
  <c r="AB203" i="8"/>
  <c r="AB201" i="8"/>
  <c r="AB183" i="8"/>
  <c r="AD227" i="8"/>
  <c r="AD226" i="8"/>
  <c r="AD210" i="8"/>
  <c r="AD208" i="8"/>
  <c r="AD206" i="8"/>
  <c r="AD204" i="8"/>
  <c r="AD202" i="8"/>
  <c r="AD200" i="8"/>
  <c r="AD195" i="8"/>
  <c r="AD194" i="8"/>
  <c r="AD193" i="8"/>
  <c r="AD192" i="8"/>
  <c r="AD211" i="8"/>
  <c r="AD209" i="8"/>
  <c r="AD207" i="8"/>
  <c r="AD205" i="8"/>
  <c r="AD203" i="8"/>
  <c r="AD201" i="8"/>
  <c r="AD183" i="8"/>
  <c r="AF227" i="8"/>
  <c r="AF226" i="8"/>
  <c r="AF210" i="8"/>
  <c r="AF208" i="8"/>
  <c r="AF206" i="8"/>
  <c r="AF204" i="8"/>
  <c r="AF202" i="8"/>
  <c r="AF200" i="8"/>
  <c r="AF195" i="8"/>
  <c r="AF194" i="8"/>
  <c r="AF193" i="8"/>
  <c r="AF192" i="8"/>
  <c r="AF211" i="8"/>
  <c r="AF209" i="8"/>
  <c r="AF207" i="8"/>
  <c r="AF205" i="8"/>
  <c r="AF203" i="8"/>
  <c r="AF201" i="8"/>
  <c r="AF183" i="8"/>
  <c r="AH227" i="8"/>
  <c r="AH226" i="8"/>
  <c r="AH210" i="8"/>
  <c r="AH208" i="8"/>
  <c r="AH206" i="8"/>
  <c r="AH204" i="8"/>
  <c r="AH202" i="8"/>
  <c r="AH200" i="8"/>
  <c r="AH195" i="8"/>
  <c r="AH194" i="8"/>
  <c r="AH193" i="8"/>
  <c r="AH192" i="8"/>
  <c r="AH211" i="8"/>
  <c r="AH209" i="8"/>
  <c r="AH207" i="8"/>
  <c r="AH205" i="8"/>
  <c r="AH203" i="8"/>
  <c r="AH201" i="8"/>
  <c r="AH183" i="8"/>
  <c r="AJ227" i="8"/>
  <c r="AJ226" i="8"/>
  <c r="AJ210" i="8"/>
  <c r="AJ208" i="8"/>
  <c r="AJ206" i="8"/>
  <c r="AJ204" i="8"/>
  <c r="AJ202" i="8"/>
  <c r="AJ200" i="8"/>
  <c r="AJ195" i="8"/>
  <c r="AJ194" i="8"/>
  <c r="AJ193" i="8"/>
  <c r="AJ192" i="8"/>
  <c r="AJ211" i="8"/>
  <c r="AJ209" i="8"/>
  <c r="AJ207" i="8"/>
  <c r="AJ205" i="8"/>
  <c r="AJ203" i="8"/>
  <c r="AJ201" i="8"/>
  <c r="AJ183" i="8"/>
  <c r="AL227" i="8"/>
  <c r="AL226" i="8"/>
  <c r="AL210" i="8"/>
  <c r="AL208" i="8"/>
  <c r="AL206" i="8"/>
  <c r="AL204" i="8"/>
  <c r="AL202" i="8"/>
  <c r="AL200" i="8"/>
  <c r="AL195" i="8"/>
  <c r="AL194" i="8"/>
  <c r="AL193" i="8"/>
  <c r="AL192" i="8"/>
  <c r="AL211" i="8"/>
  <c r="AL209" i="8"/>
  <c r="AL207" i="8"/>
  <c r="AL205" i="8"/>
  <c r="AL203" i="8"/>
  <c r="AL201" i="8"/>
  <c r="AL183" i="8"/>
  <c r="F228" i="8"/>
  <c r="F181" i="8"/>
  <c r="H228" i="8"/>
  <c r="H181" i="8"/>
  <c r="J228" i="8"/>
  <c r="J181" i="8"/>
  <c r="L228" i="8"/>
  <c r="L181" i="8"/>
  <c r="N228" i="8"/>
  <c r="N181" i="8"/>
  <c r="P228" i="8"/>
  <c r="P181" i="8"/>
  <c r="R228" i="8"/>
  <c r="R181" i="8"/>
  <c r="T228" i="8"/>
  <c r="T181" i="8"/>
  <c r="V228" i="8"/>
  <c r="V181" i="8"/>
  <c r="X228" i="8"/>
  <c r="X181" i="8"/>
  <c r="Z228" i="8"/>
  <c r="Z181" i="8"/>
  <c r="AB228" i="8"/>
  <c r="AB181" i="8"/>
  <c r="AD228" i="8"/>
  <c r="AD181" i="8"/>
  <c r="AF228" i="8"/>
  <c r="AF181" i="8"/>
  <c r="AH228" i="8"/>
  <c r="AH181" i="8"/>
  <c r="AJ228" i="8"/>
  <c r="AJ181" i="8"/>
  <c r="AL228" i="8"/>
  <c r="AL181" i="8"/>
  <c r="F230" i="8"/>
  <c r="F229" i="8"/>
  <c r="H230" i="8"/>
  <c r="H229" i="8"/>
  <c r="J230" i="8"/>
  <c r="J229" i="8"/>
  <c r="L230" i="8"/>
  <c r="L229" i="8"/>
  <c r="N230" i="8"/>
  <c r="N229" i="8"/>
  <c r="P230" i="8"/>
  <c r="P229" i="8"/>
  <c r="R230" i="8"/>
  <c r="R229" i="8"/>
  <c r="T230" i="8"/>
  <c r="T229" i="8"/>
  <c r="V230" i="8"/>
  <c r="V229" i="8"/>
  <c r="X230" i="8"/>
  <c r="X229" i="8"/>
  <c r="Z230" i="8"/>
  <c r="Z229" i="8"/>
  <c r="AB230" i="8"/>
  <c r="AB229" i="8"/>
  <c r="AD230" i="8"/>
  <c r="AD229" i="8"/>
  <c r="AF230" i="8"/>
  <c r="AF229" i="8"/>
  <c r="AH230" i="8"/>
  <c r="AH229" i="8"/>
  <c r="AJ230" i="8"/>
  <c r="AJ229" i="8"/>
  <c r="AL230" i="8"/>
  <c r="AL229" i="8"/>
  <c r="F233" i="8"/>
  <c r="F232" i="8"/>
  <c r="H233" i="8"/>
  <c r="H232" i="8"/>
  <c r="J233" i="8"/>
  <c r="J232" i="8"/>
  <c r="L233" i="8"/>
  <c r="L232" i="8"/>
  <c r="N233" i="8"/>
  <c r="N232" i="8"/>
  <c r="P233" i="8"/>
  <c r="P232" i="8"/>
  <c r="R233" i="8"/>
  <c r="R232" i="8"/>
  <c r="T233" i="8"/>
  <c r="T232" i="8"/>
  <c r="V233" i="8"/>
  <c r="V232" i="8"/>
  <c r="X233" i="8"/>
  <c r="X232" i="8"/>
  <c r="Z233" i="8"/>
  <c r="Z232" i="8"/>
  <c r="AB233" i="8"/>
  <c r="AB232" i="8"/>
  <c r="AD233" i="8"/>
  <c r="AD232" i="8"/>
  <c r="AF233" i="8"/>
  <c r="AF232" i="8"/>
  <c r="AH233" i="8"/>
  <c r="AH232" i="8"/>
  <c r="AJ233" i="8"/>
  <c r="AJ232" i="8"/>
  <c r="AL233" i="8"/>
  <c r="AL232" i="8"/>
  <c r="F237" i="8"/>
  <c r="F235" i="8"/>
  <c r="F234" i="8"/>
  <c r="F182" i="8"/>
  <c r="H237" i="8"/>
  <c r="H235" i="8"/>
  <c r="H234" i="8"/>
  <c r="H182" i="8"/>
  <c r="J237" i="8"/>
  <c r="J235" i="8"/>
  <c r="J234" i="8"/>
  <c r="J182" i="8"/>
  <c r="L237" i="8"/>
  <c r="L235" i="8"/>
  <c r="L234" i="8"/>
  <c r="L182" i="8"/>
  <c r="N237" i="8"/>
  <c r="N235" i="8"/>
  <c r="N234" i="8"/>
  <c r="N182" i="8"/>
  <c r="P237" i="8"/>
  <c r="P235" i="8"/>
  <c r="P234" i="8"/>
  <c r="P182" i="8"/>
  <c r="R237" i="8"/>
  <c r="R235" i="8"/>
  <c r="R234" i="8"/>
  <c r="R182" i="8"/>
  <c r="T237" i="8"/>
  <c r="T235" i="8"/>
  <c r="T234" i="8"/>
  <c r="T182" i="8"/>
  <c r="V237" i="8"/>
  <c r="V235" i="8"/>
  <c r="V234" i="8"/>
  <c r="V182" i="8"/>
  <c r="X237" i="8"/>
  <c r="X235" i="8"/>
  <c r="X234" i="8"/>
  <c r="X182" i="8"/>
  <c r="Z237" i="8"/>
  <c r="Z235" i="8"/>
  <c r="Z234" i="8"/>
  <c r="Z182" i="8"/>
  <c r="AB237" i="8"/>
  <c r="AB235" i="8"/>
  <c r="AB234" i="8"/>
  <c r="AB182" i="8"/>
  <c r="AD237" i="8"/>
  <c r="AD235" i="8"/>
  <c r="AD234" i="8"/>
  <c r="AD182" i="8"/>
  <c r="AF237" i="8"/>
  <c r="AF235" i="8"/>
  <c r="AF234" i="8"/>
  <c r="AF182" i="8"/>
  <c r="AH237" i="8"/>
  <c r="AH235" i="8"/>
  <c r="AH234" i="8"/>
  <c r="AH182" i="8"/>
  <c r="AJ237" i="8"/>
  <c r="AJ235" i="8"/>
  <c r="AJ234" i="8"/>
  <c r="AJ182" i="8"/>
  <c r="AL237" i="8"/>
  <c r="AL235" i="8"/>
  <c r="AL234" i="8"/>
  <c r="AL182" i="8"/>
  <c r="H5" i="8"/>
  <c r="J5" i="8"/>
  <c r="H184" i="8"/>
  <c r="I184" i="8"/>
  <c r="K184" i="8"/>
  <c r="M184" i="8"/>
  <c r="O184" i="8"/>
  <c r="Q184" i="8"/>
  <c r="S184" i="8"/>
  <c r="U184" i="8"/>
  <c r="W184" i="8"/>
  <c r="Y184" i="8"/>
  <c r="AA184" i="8"/>
  <c r="AC184" i="8"/>
  <c r="AE184" i="8"/>
  <c r="AG184" i="8"/>
  <c r="AI184" i="8"/>
  <c r="AK184" i="8"/>
  <c r="J57" i="8"/>
  <c r="L57" i="8"/>
  <c r="N57" i="8"/>
  <c r="P57" i="8"/>
  <c r="R57" i="8"/>
  <c r="T57" i="8"/>
  <c r="V57" i="8"/>
  <c r="X57" i="8"/>
  <c r="Z57" i="8"/>
  <c r="AB57" i="8"/>
  <c r="AD57" i="8"/>
  <c r="AF57" i="8"/>
  <c r="AH57" i="8"/>
  <c r="AJ57" i="8"/>
  <c r="AL57" i="8"/>
  <c r="J121" i="8"/>
  <c r="L121" i="8"/>
  <c r="N121" i="8"/>
  <c r="P121" i="8"/>
  <c r="R121" i="8"/>
  <c r="T121" i="8"/>
  <c r="V121" i="8"/>
  <c r="X121" i="8"/>
  <c r="Z121" i="8"/>
  <c r="AB121" i="8"/>
  <c r="AD121" i="8"/>
  <c r="AF121" i="8"/>
  <c r="AH121" i="8"/>
  <c r="AJ121" i="8"/>
  <c r="AL121" i="8"/>
  <c r="J123" i="8"/>
  <c r="L123" i="8"/>
  <c r="N123" i="8"/>
  <c r="P123" i="8"/>
  <c r="R123" i="8"/>
  <c r="T123" i="8"/>
  <c r="V123" i="8"/>
  <c r="X123" i="8"/>
  <c r="Z123" i="8"/>
  <c r="AB123" i="8"/>
  <c r="AD123" i="8"/>
  <c r="AF123" i="8"/>
  <c r="AH123" i="8"/>
  <c r="AJ123" i="8"/>
  <c r="AL123" i="8"/>
  <c r="J126" i="8"/>
  <c r="L126" i="8"/>
  <c r="N126" i="8"/>
  <c r="P126" i="8"/>
  <c r="R126" i="8"/>
  <c r="T126" i="8"/>
  <c r="V126" i="8"/>
  <c r="X126" i="8"/>
  <c r="Z126" i="8"/>
  <c r="AB126" i="8"/>
  <c r="AD126" i="8"/>
  <c r="AF126" i="8"/>
  <c r="AH126" i="8"/>
  <c r="AJ126" i="8"/>
  <c r="AL126" i="8"/>
  <c r="J127" i="8"/>
  <c r="L127" i="8"/>
  <c r="N127" i="8"/>
  <c r="P127" i="8"/>
  <c r="R127" i="8"/>
  <c r="T127" i="8"/>
  <c r="V127" i="8"/>
  <c r="X127" i="8"/>
  <c r="Z127" i="8"/>
  <c r="AB127" i="8"/>
  <c r="AD127" i="8"/>
  <c r="AF127" i="8"/>
  <c r="AH127" i="8"/>
  <c r="AJ127" i="8"/>
  <c r="AL127" i="8"/>
  <c r="J128" i="8"/>
  <c r="L128" i="8"/>
  <c r="N128" i="8"/>
  <c r="P128" i="8"/>
  <c r="R128" i="8"/>
  <c r="T128" i="8"/>
  <c r="V128" i="8"/>
  <c r="X128" i="8"/>
  <c r="Z128" i="8"/>
  <c r="AB128" i="8"/>
  <c r="AD128" i="8"/>
  <c r="AF128" i="8"/>
  <c r="AH128" i="8"/>
  <c r="AJ128" i="8"/>
  <c r="AL128" i="8"/>
  <c r="J131" i="8"/>
  <c r="L131" i="8"/>
  <c r="N131" i="8"/>
  <c r="P131" i="8"/>
  <c r="R131" i="8"/>
  <c r="T131" i="8"/>
  <c r="V131" i="8"/>
  <c r="X131" i="8"/>
  <c r="Z131" i="8"/>
  <c r="AB131" i="8"/>
  <c r="AD131" i="8"/>
  <c r="AF131" i="8"/>
  <c r="AH131" i="8"/>
  <c r="AJ131" i="8"/>
  <c r="AL131" i="8"/>
  <c r="J132" i="8"/>
  <c r="L132" i="8"/>
  <c r="N132" i="8"/>
  <c r="P132" i="8"/>
  <c r="R132" i="8"/>
  <c r="T132" i="8"/>
  <c r="V132" i="8"/>
  <c r="X132" i="8"/>
  <c r="Z132" i="8"/>
  <c r="AB132" i="8"/>
  <c r="AD132" i="8"/>
  <c r="AF132" i="8"/>
  <c r="AH132" i="8"/>
  <c r="AJ132" i="8"/>
  <c r="AL132" i="8"/>
  <c r="J133" i="8"/>
  <c r="L133" i="8"/>
  <c r="N133" i="8"/>
  <c r="P133" i="8"/>
  <c r="R133" i="8"/>
  <c r="T133" i="8"/>
  <c r="V133" i="8"/>
  <c r="X133" i="8"/>
  <c r="Z133" i="8"/>
  <c r="AB133" i="8"/>
  <c r="AD133" i="8"/>
  <c r="AF133" i="8"/>
  <c r="AH133" i="8"/>
  <c r="AJ133" i="8"/>
  <c r="AL133" i="8"/>
  <c r="J134" i="8"/>
  <c r="L134" i="8"/>
  <c r="N134" i="8"/>
  <c r="P134" i="8"/>
  <c r="R134" i="8"/>
  <c r="T134" i="8"/>
  <c r="V134" i="8"/>
  <c r="X134" i="8"/>
  <c r="Z134" i="8"/>
  <c r="AB134" i="8"/>
  <c r="AD134" i="8"/>
  <c r="AF134" i="8"/>
  <c r="AH134" i="8"/>
  <c r="AJ134" i="8"/>
  <c r="AL134" i="8"/>
  <c r="J135" i="8"/>
  <c r="L135" i="8"/>
  <c r="N135" i="8"/>
  <c r="P135" i="8"/>
  <c r="R135" i="8"/>
  <c r="T135" i="8"/>
  <c r="V135" i="8"/>
  <c r="X135" i="8"/>
  <c r="Z135" i="8"/>
  <c r="AB135" i="8"/>
  <c r="AD135" i="8"/>
  <c r="AF135" i="8"/>
  <c r="AH135" i="8"/>
  <c r="AJ135" i="8"/>
  <c r="AL135" i="8"/>
  <c r="J137" i="8"/>
  <c r="L137" i="8"/>
  <c r="N137" i="8"/>
  <c r="P137" i="8"/>
  <c r="R137" i="8"/>
  <c r="T137" i="8"/>
  <c r="V137" i="8"/>
  <c r="X137" i="8"/>
  <c r="Z137" i="8"/>
  <c r="AB137" i="8"/>
  <c r="AD137" i="8"/>
  <c r="AF137" i="8"/>
  <c r="AH137" i="8"/>
  <c r="AJ137" i="8"/>
  <c r="AL137" i="8"/>
  <c r="J143" i="8"/>
  <c r="L143" i="8"/>
  <c r="N143" i="8"/>
  <c r="P143" i="8"/>
  <c r="R143" i="8"/>
  <c r="T143" i="8"/>
  <c r="V143" i="8"/>
  <c r="X143" i="8"/>
  <c r="Z143" i="8"/>
  <c r="AB143" i="8"/>
  <c r="AD143" i="8"/>
  <c r="AF143" i="8"/>
  <c r="AH143" i="8"/>
  <c r="AJ143" i="8"/>
  <c r="AL143" i="8"/>
  <c r="J145" i="8"/>
  <c r="L145" i="8"/>
  <c r="N145" i="8"/>
  <c r="P145" i="8"/>
  <c r="R145" i="8"/>
  <c r="T145" i="8"/>
  <c r="V145" i="8"/>
  <c r="X145" i="8"/>
  <c r="Z145" i="8"/>
  <c r="AB145" i="8"/>
  <c r="AD145" i="8"/>
  <c r="AF145" i="8"/>
  <c r="AH145" i="8"/>
  <c r="AJ145" i="8"/>
  <c r="AL145" i="8"/>
  <c r="J151" i="8"/>
  <c r="L151" i="8"/>
  <c r="N151" i="8"/>
  <c r="P151" i="8"/>
  <c r="R151" i="8"/>
  <c r="T151" i="8"/>
  <c r="V151" i="8"/>
  <c r="X151" i="8"/>
  <c r="Z151" i="8"/>
  <c r="AB151" i="8"/>
  <c r="AD151" i="8"/>
  <c r="AF151" i="8"/>
  <c r="AH151" i="8"/>
  <c r="AJ151" i="8"/>
  <c r="J155" i="8"/>
  <c r="L155" i="8"/>
  <c r="N155" i="8"/>
  <c r="P155" i="8"/>
  <c r="R155" i="8"/>
  <c r="T155" i="8"/>
  <c r="V155" i="8"/>
  <c r="X155" i="8"/>
  <c r="Z155" i="8"/>
  <c r="AB155" i="8"/>
  <c r="AD155" i="8"/>
  <c r="AF155" i="8"/>
  <c r="AH155" i="8"/>
  <c r="AJ155" i="8"/>
  <c r="AL155" i="8"/>
  <c r="J157" i="8"/>
  <c r="L157" i="8"/>
  <c r="N157" i="8"/>
  <c r="P157" i="8"/>
  <c r="R157" i="8"/>
  <c r="T157" i="8"/>
  <c r="V157" i="8"/>
  <c r="X157" i="8"/>
  <c r="Z157" i="8"/>
  <c r="AB157" i="8"/>
  <c r="AD157" i="8"/>
  <c r="AF157" i="8"/>
  <c r="AH157" i="8"/>
  <c r="AJ157" i="8"/>
  <c r="AL157" i="8"/>
  <c r="J159" i="8"/>
  <c r="L159" i="8"/>
  <c r="N159" i="8"/>
  <c r="P159" i="8"/>
  <c r="R159" i="8"/>
  <c r="T159" i="8"/>
  <c r="V159" i="8"/>
  <c r="X159" i="8"/>
  <c r="Z159" i="8"/>
  <c r="AB159" i="8"/>
  <c r="AD159" i="8"/>
  <c r="AF159" i="8"/>
  <c r="AH159" i="8"/>
  <c r="AJ159" i="8"/>
  <c r="AL159" i="8"/>
  <c r="J160" i="8"/>
  <c r="L160" i="8"/>
  <c r="N160" i="8"/>
  <c r="P160" i="8"/>
  <c r="R160" i="8"/>
  <c r="T160" i="8"/>
  <c r="V160" i="8"/>
  <c r="X160" i="8"/>
  <c r="Z160" i="8"/>
  <c r="AB160" i="8"/>
  <c r="AD160" i="8"/>
  <c r="AF160" i="8"/>
  <c r="AH160" i="8"/>
  <c r="AJ160" i="8"/>
  <c r="AL160" i="8"/>
  <c r="J161" i="8"/>
  <c r="L161" i="8"/>
  <c r="N161" i="8"/>
  <c r="P161" i="8"/>
  <c r="R161" i="8"/>
  <c r="T161" i="8"/>
  <c r="V161" i="8"/>
  <c r="X161" i="8"/>
  <c r="Z161" i="8"/>
  <c r="AB161" i="8"/>
  <c r="AD161" i="8"/>
  <c r="AF161" i="8"/>
  <c r="AH161" i="8"/>
  <c r="AJ161" i="8"/>
  <c r="AL161" i="8"/>
  <c r="J162" i="8"/>
  <c r="L162" i="8"/>
  <c r="N162" i="8"/>
  <c r="P162" i="8"/>
  <c r="R162" i="8"/>
  <c r="T162" i="8"/>
  <c r="V162" i="8"/>
  <c r="X162" i="8"/>
  <c r="Z162" i="8"/>
  <c r="AB162" i="8"/>
  <c r="AD162" i="8"/>
  <c r="AF162" i="8"/>
  <c r="AH162" i="8"/>
  <c r="AJ162" i="8"/>
  <c r="AL162" i="8"/>
  <c r="J163" i="8"/>
  <c r="L163" i="8"/>
  <c r="N163" i="8"/>
  <c r="P163" i="8"/>
  <c r="R163" i="8"/>
  <c r="T163" i="8"/>
  <c r="V163" i="8"/>
  <c r="X163" i="8"/>
  <c r="Z163" i="8"/>
  <c r="AB163" i="8"/>
  <c r="AD163" i="8"/>
  <c r="AF163" i="8"/>
  <c r="AH163" i="8"/>
  <c r="AJ163" i="8"/>
  <c r="AL163" i="8"/>
  <c r="J164" i="8"/>
  <c r="L164" i="8"/>
  <c r="N164" i="8"/>
  <c r="P164" i="8"/>
  <c r="R164" i="8"/>
  <c r="T164" i="8"/>
  <c r="V164" i="8"/>
  <c r="X164" i="8"/>
  <c r="Z164" i="8"/>
  <c r="AB164" i="8"/>
  <c r="AD164" i="8"/>
  <c r="AF164" i="8"/>
  <c r="AH164" i="8"/>
  <c r="AJ164" i="8"/>
  <c r="AL164" i="8"/>
  <c r="J165" i="8"/>
  <c r="L165" i="8"/>
  <c r="N165" i="8"/>
  <c r="P165" i="8"/>
  <c r="R165" i="8"/>
  <c r="T165" i="8"/>
  <c r="V165" i="8"/>
  <c r="X165" i="8"/>
  <c r="Z165" i="8"/>
  <c r="AB165" i="8"/>
  <c r="AD165" i="8"/>
  <c r="AF165" i="8"/>
  <c r="AH165" i="8"/>
  <c r="AJ165" i="8"/>
  <c r="AL165" i="8"/>
  <c r="J166" i="8"/>
  <c r="L166" i="8"/>
  <c r="N166" i="8"/>
  <c r="P166" i="8"/>
  <c r="R166" i="8"/>
  <c r="T166" i="8"/>
  <c r="V166" i="8"/>
  <c r="X166" i="8"/>
  <c r="Z166" i="8"/>
  <c r="AB166" i="8"/>
  <c r="AD166" i="8"/>
  <c r="AF166" i="8"/>
  <c r="AH166" i="8"/>
  <c r="AJ166" i="8"/>
  <c r="AL166" i="8"/>
  <c r="J172" i="8"/>
  <c r="L172" i="8"/>
  <c r="N172" i="8"/>
  <c r="P172" i="8"/>
  <c r="R172" i="8"/>
  <c r="T172" i="8"/>
  <c r="V172" i="8"/>
  <c r="X172" i="8"/>
  <c r="Z172" i="8"/>
  <c r="AB172" i="8"/>
  <c r="AD172" i="8"/>
  <c r="AF172" i="8"/>
  <c r="AH172" i="8"/>
  <c r="AJ172" i="8"/>
  <c r="AL172" i="8"/>
  <c r="J173" i="8"/>
  <c r="L173" i="8"/>
  <c r="N173" i="8"/>
  <c r="P173" i="8"/>
  <c r="R173" i="8"/>
  <c r="T173" i="8"/>
  <c r="V173" i="8"/>
  <c r="X173" i="8"/>
  <c r="Z173" i="8"/>
  <c r="AB173" i="8"/>
  <c r="AD173" i="8"/>
  <c r="AF173" i="8"/>
  <c r="AH173" i="8"/>
  <c r="AJ173" i="8"/>
  <c r="AL173" i="8"/>
  <c r="J175" i="8"/>
  <c r="L175" i="8"/>
  <c r="N175" i="8"/>
  <c r="P175" i="8"/>
  <c r="R175" i="8"/>
  <c r="T175" i="8"/>
  <c r="V175" i="8"/>
  <c r="X175" i="8"/>
  <c r="Z175" i="8"/>
  <c r="AB175" i="8"/>
  <c r="AD175" i="8"/>
  <c r="AF175" i="8"/>
  <c r="AH175" i="8"/>
  <c r="AJ175" i="8"/>
  <c r="AL175" i="8"/>
  <c r="J176" i="8"/>
  <c r="L176" i="8"/>
  <c r="N176" i="8"/>
  <c r="P176" i="8"/>
  <c r="R176" i="8"/>
  <c r="T176" i="8"/>
  <c r="V176" i="8"/>
  <c r="X176" i="8"/>
  <c r="Z176" i="8"/>
  <c r="AB176" i="8"/>
  <c r="AD176" i="8"/>
  <c r="AF176" i="8"/>
  <c r="AH176" i="8"/>
  <c r="AJ176" i="8"/>
  <c r="E227" i="8"/>
  <c r="F201" i="8" s="1"/>
  <c r="E226" i="8"/>
  <c r="F200" i="8" s="1"/>
  <c r="E183" i="8"/>
  <c r="G227" i="8"/>
  <c r="H201" i="8" s="1"/>
  <c r="G226" i="8"/>
  <c r="G205" i="8"/>
  <c r="G183" i="8"/>
  <c r="G210" i="8"/>
  <c r="G200" i="8"/>
  <c r="I227" i="8"/>
  <c r="J201" i="8" s="1"/>
  <c r="I226" i="8"/>
  <c r="I205" i="8"/>
  <c r="I183" i="8"/>
  <c r="I210" i="8"/>
  <c r="I200" i="8"/>
  <c r="I195" i="8"/>
  <c r="I194" i="8"/>
  <c r="I193" i="8"/>
  <c r="I192" i="8"/>
  <c r="K227" i="8"/>
  <c r="L201" i="8" s="1"/>
  <c r="K226" i="8"/>
  <c r="K205" i="8"/>
  <c r="K183" i="8"/>
  <c r="K210" i="8"/>
  <c r="K200" i="8"/>
  <c r="K195" i="8"/>
  <c r="K194" i="8"/>
  <c r="K193" i="8"/>
  <c r="K192" i="8"/>
  <c r="M227" i="8"/>
  <c r="N201" i="8" s="1"/>
  <c r="M226" i="8"/>
  <c r="M200" i="8" s="1"/>
  <c r="M205" i="8"/>
  <c r="M183" i="8"/>
  <c r="M210" i="8"/>
  <c r="M195" i="8"/>
  <c r="M194" i="8"/>
  <c r="M193" i="8"/>
  <c r="M192" i="8"/>
  <c r="O227" i="8"/>
  <c r="P201" i="8" s="1"/>
  <c r="O226" i="8"/>
  <c r="O205" i="8"/>
  <c r="O183" i="8"/>
  <c r="O210" i="8"/>
  <c r="O200" i="8"/>
  <c r="O195" i="8"/>
  <c r="O194" i="8"/>
  <c r="O193" i="8"/>
  <c r="O192" i="8"/>
  <c r="Q227" i="8"/>
  <c r="R201" i="8" s="1"/>
  <c r="Q226" i="8"/>
  <c r="Q205" i="8"/>
  <c r="Q183" i="8"/>
  <c r="Q210" i="8"/>
  <c r="Q200" i="8"/>
  <c r="Q195" i="8"/>
  <c r="Q194" i="8"/>
  <c r="Q193" i="8"/>
  <c r="Q192" i="8"/>
  <c r="S227" i="8"/>
  <c r="S226" i="8"/>
  <c r="S211" i="8"/>
  <c r="S209" i="8"/>
  <c r="S207" i="8"/>
  <c r="S205" i="8"/>
  <c r="S203" i="8"/>
  <c r="S201" i="8"/>
  <c r="S183" i="8"/>
  <c r="S210" i="8"/>
  <c r="S208" i="8"/>
  <c r="S206" i="8"/>
  <c r="S204" i="8"/>
  <c r="S202" i="8"/>
  <c r="S200" i="8"/>
  <c r="S195" i="8"/>
  <c r="S194" i="8"/>
  <c r="S193" i="8"/>
  <c r="S192" i="8"/>
  <c r="U227" i="8"/>
  <c r="U226" i="8"/>
  <c r="U211" i="8"/>
  <c r="U209" i="8"/>
  <c r="U207" i="8"/>
  <c r="U205" i="8"/>
  <c r="U203" i="8"/>
  <c r="U201" i="8"/>
  <c r="U183" i="8"/>
  <c r="U210" i="8"/>
  <c r="U208" i="8"/>
  <c r="U206" i="8"/>
  <c r="U204" i="8"/>
  <c r="U202" i="8"/>
  <c r="U200" i="8"/>
  <c r="U195" i="8"/>
  <c r="U194" i="8"/>
  <c r="U193" i="8"/>
  <c r="U192" i="8"/>
  <c r="W227" i="8"/>
  <c r="W226" i="8"/>
  <c r="W211" i="8"/>
  <c r="W209" i="8"/>
  <c r="W207" i="8"/>
  <c r="W205" i="8"/>
  <c r="W203" i="8"/>
  <c r="W201" i="8"/>
  <c r="W183" i="8"/>
  <c r="W210" i="8"/>
  <c r="W208" i="8"/>
  <c r="W206" i="8"/>
  <c r="W204" i="8"/>
  <c r="W202" i="8"/>
  <c r="W200" i="8"/>
  <c r="W195" i="8"/>
  <c r="W194" i="8"/>
  <c r="W193" i="8"/>
  <c r="W192" i="8"/>
  <c r="Y227" i="8"/>
  <c r="Y226" i="8"/>
  <c r="Y211" i="8"/>
  <c r="Y209" i="8"/>
  <c r="Y207" i="8"/>
  <c r="Y205" i="8"/>
  <c r="Y203" i="8"/>
  <c r="Y201" i="8"/>
  <c r="Y183" i="8"/>
  <c r="Y210" i="8"/>
  <c r="Y208" i="8"/>
  <c r="Y206" i="8"/>
  <c r="Y204" i="8"/>
  <c r="Y202" i="8"/>
  <c r="Y200" i="8"/>
  <c r="Y195" i="8"/>
  <c r="Y194" i="8"/>
  <c r="Y193" i="8"/>
  <c r="Y192" i="8"/>
  <c r="AA227" i="8"/>
  <c r="AA226" i="8"/>
  <c r="AA211" i="8"/>
  <c r="AA209" i="8"/>
  <c r="AA207" i="8"/>
  <c r="AA205" i="8"/>
  <c r="AA203" i="8"/>
  <c r="AA201" i="8"/>
  <c r="AA183" i="8"/>
  <c r="AA210" i="8"/>
  <c r="AA208" i="8"/>
  <c r="AA206" i="8"/>
  <c r="AA204" i="8"/>
  <c r="AA202" i="8"/>
  <c r="AA200" i="8"/>
  <c r="AA195" i="8"/>
  <c r="AA194" i="8"/>
  <c r="AA193" i="8"/>
  <c r="AA192" i="8"/>
  <c r="AC227" i="8"/>
  <c r="AC226" i="8"/>
  <c r="AC211" i="8"/>
  <c r="AC209" i="8"/>
  <c r="AC207" i="8"/>
  <c r="AC205" i="8"/>
  <c r="AC203" i="8"/>
  <c r="AC201" i="8"/>
  <c r="AC183" i="8"/>
  <c r="AC210" i="8"/>
  <c r="AC208" i="8"/>
  <c r="AC206" i="8"/>
  <c r="AC204" i="8"/>
  <c r="AC202" i="8"/>
  <c r="AC200" i="8"/>
  <c r="AC195" i="8"/>
  <c r="AC194" i="8"/>
  <c r="AC193" i="8"/>
  <c r="AC192" i="8"/>
  <c r="AE227" i="8"/>
  <c r="AE226" i="8"/>
  <c r="AE211" i="8"/>
  <c r="AE209" i="8"/>
  <c r="AE207" i="8"/>
  <c r="AE205" i="8"/>
  <c r="AE203" i="8"/>
  <c r="AE201" i="8"/>
  <c r="AE183" i="8"/>
  <c r="AE210" i="8"/>
  <c r="AE208" i="8"/>
  <c r="AE206" i="8"/>
  <c r="AE204" i="8"/>
  <c r="AE202" i="8"/>
  <c r="AE200" i="8"/>
  <c r="AE195" i="8"/>
  <c r="AE194" i="8"/>
  <c r="AE193" i="8"/>
  <c r="AE192" i="8"/>
  <c r="AG227" i="8"/>
  <c r="AG226" i="8"/>
  <c r="AG211" i="8"/>
  <c r="AG209" i="8"/>
  <c r="AG207" i="8"/>
  <c r="AG205" i="8"/>
  <c r="AG203" i="8"/>
  <c r="AG201" i="8"/>
  <c r="AG183" i="8"/>
  <c r="AG210" i="8"/>
  <c r="AG208" i="8"/>
  <c r="AG206" i="8"/>
  <c r="AG204" i="8"/>
  <c r="AG202" i="8"/>
  <c r="AG200" i="8"/>
  <c r="AG195" i="8"/>
  <c r="AG194" i="8"/>
  <c r="AG193" i="8"/>
  <c r="AG192" i="8"/>
  <c r="AI227" i="8"/>
  <c r="AI226" i="8"/>
  <c r="AI211" i="8"/>
  <c r="AI209" i="8"/>
  <c r="AI207" i="8"/>
  <c r="AI205" i="8"/>
  <c r="AI203" i="8"/>
  <c r="AI201" i="8"/>
  <c r="AI183" i="8"/>
  <c r="AI210" i="8"/>
  <c r="AI208" i="8"/>
  <c r="AI206" i="8"/>
  <c r="AI204" i="8"/>
  <c r="AI202" i="8"/>
  <c r="AI200" i="8"/>
  <c r="AI195" i="8"/>
  <c r="AI194" i="8"/>
  <c r="AI193" i="8"/>
  <c r="AI192" i="8"/>
  <c r="AK227" i="8"/>
  <c r="AK226" i="8"/>
  <c r="AK211" i="8"/>
  <c r="AK209" i="8"/>
  <c r="AK207" i="8"/>
  <c r="AK205" i="8"/>
  <c r="AK203" i="8"/>
  <c r="AK201" i="8"/>
  <c r="AK183" i="8"/>
  <c r="AK210" i="8"/>
  <c r="AK208" i="8"/>
  <c r="AK206" i="8"/>
  <c r="AK204" i="8"/>
  <c r="AK202" i="8"/>
  <c r="AK200" i="8"/>
  <c r="AK195" i="8"/>
  <c r="AK194" i="8"/>
  <c r="AK193" i="8"/>
  <c r="AK192" i="8"/>
  <c r="E228" i="8"/>
  <c r="F202" i="8" s="1"/>
  <c r="E181" i="8"/>
  <c r="G228" i="8"/>
  <c r="H202" i="8" s="1"/>
  <c r="G181" i="8"/>
  <c r="I228" i="8"/>
  <c r="I202" i="8" s="1"/>
  <c r="I181" i="8"/>
  <c r="K228" i="8"/>
  <c r="L202" i="8" s="1"/>
  <c r="K181" i="8"/>
  <c r="M228" i="8"/>
  <c r="M202" i="8" s="1"/>
  <c r="M181" i="8"/>
  <c r="O228" i="8"/>
  <c r="P202" i="8" s="1"/>
  <c r="O181" i="8"/>
  <c r="Q228" i="8"/>
  <c r="Q202" i="8" s="1"/>
  <c r="Q181" i="8"/>
  <c r="S228" i="8"/>
  <c r="S181" i="8"/>
  <c r="U228" i="8"/>
  <c r="U181" i="8"/>
  <c r="W228" i="8"/>
  <c r="W181" i="8"/>
  <c r="Y228" i="8"/>
  <c r="Y181" i="8"/>
  <c r="AA228" i="8"/>
  <c r="AA181" i="8"/>
  <c r="AC228" i="8"/>
  <c r="AC181" i="8"/>
  <c r="AE228" i="8"/>
  <c r="AE181" i="8"/>
  <c r="AG228" i="8"/>
  <c r="AG181" i="8"/>
  <c r="AI228" i="8"/>
  <c r="AI181" i="8"/>
  <c r="AK228" i="8"/>
  <c r="AK181" i="8"/>
  <c r="E230" i="8"/>
  <c r="F204" i="8" s="1"/>
  <c r="E229" i="8"/>
  <c r="F203" i="8" s="1"/>
  <c r="G230" i="8"/>
  <c r="G204" i="8" s="1"/>
  <c r="G229" i="8"/>
  <c r="H203" i="8" s="1"/>
  <c r="I230" i="8"/>
  <c r="J204" i="8" s="1"/>
  <c r="I229" i="8"/>
  <c r="J203" i="8" s="1"/>
  <c r="K230" i="8"/>
  <c r="K204" i="8" s="1"/>
  <c r="K229" i="8"/>
  <c r="L203" i="8" s="1"/>
  <c r="M230" i="8"/>
  <c r="N204" i="8" s="1"/>
  <c r="M229" i="8"/>
  <c r="N203" i="8" s="1"/>
  <c r="O230" i="8"/>
  <c r="O204" i="8" s="1"/>
  <c r="O229" i="8"/>
  <c r="P203" i="8" s="1"/>
  <c r="Q230" i="8"/>
  <c r="R204" i="8" s="1"/>
  <c r="Q229" i="8"/>
  <c r="R203" i="8" s="1"/>
  <c r="S230" i="8"/>
  <c r="S229" i="8"/>
  <c r="U230" i="8"/>
  <c r="U229" i="8"/>
  <c r="W230" i="8"/>
  <c r="W229" i="8"/>
  <c r="Y230" i="8"/>
  <c r="Y229" i="8"/>
  <c r="AA230" i="8"/>
  <c r="AA229" i="8"/>
  <c r="AC230" i="8"/>
  <c r="AC229" i="8"/>
  <c r="AE230" i="8"/>
  <c r="AE229" i="8"/>
  <c r="AG230" i="8"/>
  <c r="AG229" i="8"/>
  <c r="AI230" i="8"/>
  <c r="AI229" i="8"/>
  <c r="AK230" i="8"/>
  <c r="AK229" i="8"/>
  <c r="E233" i="8"/>
  <c r="F207" i="8" s="1"/>
  <c r="E232" i="8"/>
  <c r="F206" i="8" s="1"/>
  <c r="G233" i="8"/>
  <c r="H207" i="8" s="1"/>
  <c r="G232" i="8"/>
  <c r="I233" i="8"/>
  <c r="J207" i="8" s="1"/>
  <c r="I232" i="8"/>
  <c r="K233" i="8"/>
  <c r="L207" i="8" s="1"/>
  <c r="K232" i="8"/>
  <c r="M233" i="8"/>
  <c r="N207" i="8" s="1"/>
  <c r="M232" i="8"/>
  <c r="O233" i="8"/>
  <c r="P207" i="8" s="1"/>
  <c r="O232" i="8"/>
  <c r="Q233" i="8"/>
  <c r="R207" i="8" s="1"/>
  <c r="Q232" i="8"/>
  <c r="S233" i="8"/>
  <c r="S232" i="8"/>
  <c r="U233" i="8"/>
  <c r="U232" i="8"/>
  <c r="W233" i="8"/>
  <c r="W232" i="8"/>
  <c r="Y233" i="8"/>
  <c r="Y232" i="8"/>
  <c r="AA233" i="8"/>
  <c r="AA232" i="8"/>
  <c r="AC233" i="8"/>
  <c r="AC232" i="8"/>
  <c r="AE233" i="8"/>
  <c r="AE232" i="8"/>
  <c r="AG233" i="8"/>
  <c r="AG232" i="8"/>
  <c r="AI233" i="8"/>
  <c r="AI232" i="8"/>
  <c r="AK233" i="8"/>
  <c r="AK232" i="8"/>
  <c r="E237" i="8"/>
  <c r="F211" i="8" s="1"/>
  <c r="E235" i="8"/>
  <c r="F209" i="8" s="1"/>
  <c r="E234" i="8"/>
  <c r="F208" i="8" s="1"/>
  <c r="E182" i="8"/>
  <c r="G237" i="8"/>
  <c r="H211" i="8" s="1"/>
  <c r="G235" i="8"/>
  <c r="H209" i="8" s="1"/>
  <c r="G234" i="8"/>
  <c r="G208" i="8" s="1"/>
  <c r="G182" i="8"/>
  <c r="I237" i="8"/>
  <c r="J211" i="8" s="1"/>
  <c r="I235" i="8"/>
  <c r="J209" i="8" s="1"/>
  <c r="I234" i="8"/>
  <c r="J208" i="8" s="1"/>
  <c r="I182" i="8"/>
  <c r="K237" i="8"/>
  <c r="L211" i="8" s="1"/>
  <c r="K235" i="8"/>
  <c r="L209" i="8" s="1"/>
  <c r="K234" i="8"/>
  <c r="K208" i="8" s="1"/>
  <c r="K182" i="8"/>
  <c r="M237" i="8"/>
  <c r="N211" i="8" s="1"/>
  <c r="M235" i="8"/>
  <c r="N209" i="8" s="1"/>
  <c r="M234" i="8"/>
  <c r="N208" i="8" s="1"/>
  <c r="M182" i="8"/>
  <c r="O237" i="8"/>
  <c r="P211" i="8" s="1"/>
  <c r="O235" i="8"/>
  <c r="P209" i="8" s="1"/>
  <c r="O234" i="8"/>
  <c r="O208" i="8" s="1"/>
  <c r="O182" i="8"/>
  <c r="Q237" i="8"/>
  <c r="R211" i="8" s="1"/>
  <c r="Q235" i="8"/>
  <c r="R209" i="8" s="1"/>
  <c r="Q234" i="8"/>
  <c r="R208" i="8" s="1"/>
  <c r="Q182" i="8"/>
  <c r="S237" i="8"/>
  <c r="S235" i="8"/>
  <c r="S234" i="8"/>
  <c r="S182" i="8"/>
  <c r="U237" i="8"/>
  <c r="U235" i="8"/>
  <c r="U234" i="8"/>
  <c r="U182" i="8"/>
  <c r="W237" i="8"/>
  <c r="W235" i="8"/>
  <c r="W234" i="8"/>
  <c r="W182" i="8"/>
  <c r="Y237" i="8"/>
  <c r="Y235" i="8"/>
  <c r="Y234" i="8"/>
  <c r="Y182" i="8"/>
  <c r="AA237" i="8"/>
  <c r="AA235" i="8"/>
  <c r="AA234" i="8"/>
  <c r="AA182" i="8"/>
  <c r="AC237" i="8"/>
  <c r="AC235" i="8"/>
  <c r="AC234" i="8"/>
  <c r="AC182" i="8"/>
  <c r="AE237" i="8"/>
  <c r="AE235" i="8"/>
  <c r="AE234" i="8"/>
  <c r="AE182" i="8"/>
  <c r="AG237" i="8"/>
  <c r="AG235" i="8"/>
  <c r="AG234" i="8"/>
  <c r="AG182" i="8"/>
  <c r="AI237" i="8"/>
  <c r="AI235" i="8"/>
  <c r="AI234" i="8"/>
  <c r="AI182" i="8"/>
  <c r="AK237" i="8"/>
  <c r="AK235" i="8"/>
  <c r="AK234" i="8"/>
  <c r="AK182" i="8"/>
  <c r="F184" i="8"/>
  <c r="J184" i="8"/>
  <c r="L184" i="8"/>
  <c r="N184" i="8"/>
  <c r="P184" i="8"/>
  <c r="R184" i="8"/>
  <c r="T184" i="8"/>
  <c r="V184" i="8"/>
  <c r="X184" i="8"/>
  <c r="Z184" i="8"/>
  <c r="AB184" i="8"/>
  <c r="AD184" i="8"/>
  <c r="AF184" i="8"/>
  <c r="AH184" i="8"/>
  <c r="AJ184" i="8"/>
  <c r="AL184" i="8"/>
  <c r="I57" i="8"/>
  <c r="K57" i="8"/>
  <c r="M57" i="8"/>
  <c r="O57" i="8"/>
  <c r="Q57" i="8"/>
  <c r="S57" i="8"/>
  <c r="U57" i="8"/>
  <c r="W57" i="8"/>
  <c r="Y57" i="8"/>
  <c r="AA57" i="8"/>
  <c r="AC57" i="8"/>
  <c r="AE57" i="8"/>
  <c r="AG57" i="8"/>
  <c r="AI57" i="8"/>
  <c r="AK57" i="8"/>
  <c r="I121" i="8"/>
  <c r="K121" i="8"/>
  <c r="M121" i="8"/>
  <c r="O121" i="8"/>
  <c r="Q121" i="8"/>
  <c r="S121" i="8"/>
  <c r="U121" i="8"/>
  <c r="W121" i="8"/>
  <c r="Y121" i="8"/>
  <c r="AA121" i="8"/>
  <c r="AC121" i="8"/>
  <c r="AE121" i="8"/>
  <c r="AG121" i="8"/>
  <c r="AI121" i="8"/>
  <c r="AK121" i="8"/>
  <c r="I123" i="8"/>
  <c r="K123" i="8"/>
  <c r="M123" i="8"/>
  <c r="O123" i="8"/>
  <c r="Q123" i="8"/>
  <c r="S123" i="8"/>
  <c r="U123" i="8"/>
  <c r="W123" i="8"/>
  <c r="Y123" i="8"/>
  <c r="AA123" i="8"/>
  <c r="AC123" i="8"/>
  <c r="AE123" i="8"/>
  <c r="AG123" i="8"/>
  <c r="AI123" i="8"/>
  <c r="AK123" i="8"/>
  <c r="I124" i="8"/>
  <c r="K124" i="8"/>
  <c r="M124" i="8"/>
  <c r="O124" i="8"/>
  <c r="Q124" i="8"/>
  <c r="S124" i="8"/>
  <c r="U124" i="8"/>
  <c r="W124" i="8"/>
  <c r="Y124" i="8"/>
  <c r="AA124" i="8"/>
  <c r="AC124" i="8"/>
  <c r="AE124" i="8"/>
  <c r="AG124" i="8"/>
  <c r="AI124" i="8"/>
  <c r="AK124" i="8"/>
  <c r="I126" i="8"/>
  <c r="K126" i="8"/>
  <c r="M126" i="8"/>
  <c r="O126" i="8"/>
  <c r="Q126" i="8"/>
  <c r="S126" i="8"/>
  <c r="U126" i="8"/>
  <c r="W126" i="8"/>
  <c r="Y126" i="8"/>
  <c r="AA126" i="8"/>
  <c r="AC126" i="8"/>
  <c r="AE126" i="8"/>
  <c r="AG126" i="8"/>
  <c r="AI126" i="8"/>
  <c r="AK126" i="8"/>
  <c r="I127" i="8"/>
  <c r="K127" i="8"/>
  <c r="M127" i="8"/>
  <c r="O127" i="8"/>
  <c r="Q127" i="8"/>
  <c r="S127" i="8"/>
  <c r="U127" i="8"/>
  <c r="W127" i="8"/>
  <c r="Y127" i="8"/>
  <c r="AA127" i="8"/>
  <c r="AC127" i="8"/>
  <c r="AE127" i="8"/>
  <c r="AG127" i="8"/>
  <c r="AI127" i="8"/>
  <c r="AK127" i="8"/>
  <c r="I128" i="8"/>
  <c r="K128" i="8"/>
  <c r="M128" i="8"/>
  <c r="O128" i="8"/>
  <c r="Q128" i="8"/>
  <c r="S128" i="8"/>
  <c r="U128" i="8"/>
  <c r="W128" i="8"/>
  <c r="Y128" i="8"/>
  <c r="AA128" i="8"/>
  <c r="AC128" i="8"/>
  <c r="AE128" i="8"/>
  <c r="AG128" i="8"/>
  <c r="AI128" i="8"/>
  <c r="AK128" i="8"/>
  <c r="I131" i="8"/>
  <c r="K131" i="8"/>
  <c r="M131" i="8"/>
  <c r="O131" i="8"/>
  <c r="Q131" i="8"/>
  <c r="S131" i="8"/>
  <c r="U131" i="8"/>
  <c r="W131" i="8"/>
  <c r="Y131" i="8"/>
  <c r="AA131" i="8"/>
  <c r="AC131" i="8"/>
  <c r="AE131" i="8"/>
  <c r="AG131" i="8"/>
  <c r="AI131" i="8"/>
  <c r="AK131" i="8"/>
  <c r="I132" i="8"/>
  <c r="K132" i="8"/>
  <c r="M132" i="8"/>
  <c r="O132" i="8"/>
  <c r="Q132" i="8"/>
  <c r="S132" i="8"/>
  <c r="U132" i="8"/>
  <c r="W132" i="8"/>
  <c r="Y132" i="8"/>
  <c r="AA132" i="8"/>
  <c r="AC132" i="8"/>
  <c r="AE132" i="8"/>
  <c r="AG132" i="8"/>
  <c r="AI132" i="8"/>
  <c r="AK132" i="8"/>
  <c r="I133" i="8"/>
  <c r="K133" i="8"/>
  <c r="M133" i="8"/>
  <c r="O133" i="8"/>
  <c r="Q133" i="8"/>
  <c r="S133" i="8"/>
  <c r="U133" i="8"/>
  <c r="W133" i="8"/>
  <c r="Y133" i="8"/>
  <c r="AA133" i="8"/>
  <c r="AC133" i="8"/>
  <c r="AE133" i="8"/>
  <c r="AG133" i="8"/>
  <c r="AI133" i="8"/>
  <c r="AK133" i="8"/>
  <c r="I134" i="8"/>
  <c r="K134" i="8"/>
  <c r="M134" i="8"/>
  <c r="O134" i="8"/>
  <c r="Q134" i="8"/>
  <c r="S134" i="8"/>
  <c r="U134" i="8"/>
  <c r="W134" i="8"/>
  <c r="Y134" i="8"/>
  <c r="AA134" i="8"/>
  <c r="AC134" i="8"/>
  <c r="AE134" i="8"/>
  <c r="AG134" i="8"/>
  <c r="AI134" i="8"/>
  <c r="AK134" i="8"/>
  <c r="I135" i="8"/>
  <c r="K135" i="8"/>
  <c r="M135" i="8"/>
  <c r="O135" i="8"/>
  <c r="Q135" i="8"/>
  <c r="S135" i="8"/>
  <c r="U135" i="8"/>
  <c r="W135" i="8"/>
  <c r="Y135" i="8"/>
  <c r="AA135" i="8"/>
  <c r="AC135" i="8"/>
  <c r="AE135" i="8"/>
  <c r="AG135" i="8"/>
  <c r="AI135" i="8"/>
  <c r="AK135" i="8"/>
  <c r="I137" i="8"/>
  <c r="K137" i="8"/>
  <c r="M137" i="8"/>
  <c r="O137" i="8"/>
  <c r="Q137" i="8"/>
  <c r="S137" i="8"/>
  <c r="U137" i="8"/>
  <c r="W137" i="8"/>
  <c r="Y137" i="8"/>
  <c r="AA137" i="8"/>
  <c r="AC137" i="8"/>
  <c r="AE137" i="8"/>
  <c r="AG137" i="8"/>
  <c r="AI137" i="8"/>
  <c r="AK137" i="8"/>
  <c r="I143" i="8"/>
  <c r="K143" i="8"/>
  <c r="M143" i="8"/>
  <c r="O143" i="8"/>
  <c r="Q143" i="8"/>
  <c r="S143" i="8"/>
  <c r="U143" i="8"/>
  <c r="W143" i="8"/>
  <c r="Y143" i="8"/>
  <c r="AA143" i="8"/>
  <c r="AC143" i="8"/>
  <c r="AE143" i="8"/>
  <c r="AG143" i="8"/>
  <c r="AI143" i="8"/>
  <c r="AK143" i="8"/>
  <c r="I145" i="8"/>
  <c r="K145" i="8"/>
  <c r="M145" i="8"/>
  <c r="O145" i="8"/>
  <c r="Q145" i="8"/>
  <c r="S145" i="8"/>
  <c r="U145" i="8"/>
  <c r="W145" i="8"/>
  <c r="Y145" i="8"/>
  <c r="AA145" i="8"/>
  <c r="AC145" i="8"/>
  <c r="AE145" i="8"/>
  <c r="AG145" i="8"/>
  <c r="AI145" i="8"/>
  <c r="AK145" i="8"/>
  <c r="I151" i="8"/>
  <c r="K151" i="8"/>
  <c r="M151" i="8"/>
  <c r="O151" i="8"/>
  <c r="Q151" i="8"/>
  <c r="S151" i="8"/>
  <c r="U151" i="8"/>
  <c r="W151" i="8"/>
  <c r="Y151" i="8"/>
  <c r="AA151" i="8"/>
  <c r="AC151" i="8"/>
  <c r="AE151" i="8"/>
  <c r="AG151" i="8"/>
  <c r="AI151" i="8"/>
  <c r="AK151" i="8"/>
  <c r="I155" i="8"/>
  <c r="K155" i="8"/>
  <c r="M155" i="8"/>
  <c r="O155" i="8"/>
  <c r="Q155" i="8"/>
  <c r="S155" i="8"/>
  <c r="U155" i="8"/>
  <c r="W155" i="8"/>
  <c r="Y155" i="8"/>
  <c r="AA155" i="8"/>
  <c r="AC155" i="8"/>
  <c r="AE155" i="8"/>
  <c r="AG155" i="8"/>
  <c r="AI155" i="8"/>
  <c r="AK155" i="8"/>
  <c r="I157" i="8"/>
  <c r="K157" i="8"/>
  <c r="M157" i="8"/>
  <c r="O157" i="8"/>
  <c r="Q157" i="8"/>
  <c r="S157" i="8"/>
  <c r="U157" i="8"/>
  <c r="W157" i="8"/>
  <c r="Y157" i="8"/>
  <c r="AA157" i="8"/>
  <c r="AC157" i="8"/>
  <c r="AE157" i="8"/>
  <c r="AG157" i="8"/>
  <c r="AI157" i="8"/>
  <c r="AK157" i="8"/>
  <c r="I159" i="8"/>
  <c r="K159" i="8"/>
  <c r="M159" i="8"/>
  <c r="O159" i="8"/>
  <c r="Q159" i="8"/>
  <c r="S159" i="8"/>
  <c r="U159" i="8"/>
  <c r="W159" i="8"/>
  <c r="Y159" i="8"/>
  <c r="AA159" i="8"/>
  <c r="AC159" i="8"/>
  <c r="AE159" i="8"/>
  <c r="AG159" i="8"/>
  <c r="AI159" i="8"/>
  <c r="AK159" i="8"/>
  <c r="I160" i="8"/>
  <c r="K160" i="8"/>
  <c r="M160" i="8"/>
  <c r="O160" i="8"/>
  <c r="Q160" i="8"/>
  <c r="S160" i="8"/>
  <c r="U160" i="8"/>
  <c r="W160" i="8"/>
  <c r="Y160" i="8"/>
  <c r="AA160" i="8"/>
  <c r="AC160" i="8"/>
  <c r="AE160" i="8"/>
  <c r="AG160" i="8"/>
  <c r="AI160" i="8"/>
  <c r="AK160" i="8"/>
  <c r="I161" i="8"/>
  <c r="K161" i="8"/>
  <c r="M161" i="8"/>
  <c r="O161" i="8"/>
  <c r="Q161" i="8"/>
  <c r="S161" i="8"/>
  <c r="U161" i="8"/>
  <c r="W161" i="8"/>
  <c r="Y161" i="8"/>
  <c r="AA161" i="8"/>
  <c r="AC161" i="8"/>
  <c r="AE161" i="8"/>
  <c r="AG161" i="8"/>
  <c r="AI161" i="8"/>
  <c r="AK161" i="8"/>
  <c r="I162" i="8"/>
  <c r="K162" i="8"/>
  <c r="M162" i="8"/>
  <c r="O162" i="8"/>
  <c r="Q162" i="8"/>
  <c r="S162" i="8"/>
  <c r="U162" i="8"/>
  <c r="W162" i="8"/>
  <c r="Y162" i="8"/>
  <c r="AA162" i="8"/>
  <c r="AC162" i="8"/>
  <c r="AE162" i="8"/>
  <c r="AG162" i="8"/>
  <c r="AI162" i="8"/>
  <c r="AK162" i="8"/>
  <c r="I163" i="8"/>
  <c r="K163" i="8"/>
  <c r="M163" i="8"/>
  <c r="O163" i="8"/>
  <c r="Q163" i="8"/>
  <c r="S163" i="8"/>
  <c r="U163" i="8"/>
  <c r="W163" i="8"/>
  <c r="Y163" i="8"/>
  <c r="AA163" i="8"/>
  <c r="AC163" i="8"/>
  <c r="AE163" i="8"/>
  <c r="AG163" i="8"/>
  <c r="AI163" i="8"/>
  <c r="AK163" i="8"/>
  <c r="I164" i="8"/>
  <c r="K164" i="8"/>
  <c r="M164" i="8"/>
  <c r="O164" i="8"/>
  <c r="Q164" i="8"/>
  <c r="S164" i="8"/>
  <c r="U164" i="8"/>
  <c r="W164" i="8"/>
  <c r="Y164" i="8"/>
  <c r="AA164" i="8"/>
  <c r="AC164" i="8"/>
  <c r="AE164" i="8"/>
  <c r="AG164" i="8"/>
  <c r="AI164" i="8"/>
  <c r="AK164" i="8"/>
  <c r="I165" i="8"/>
  <c r="K165" i="8"/>
  <c r="M165" i="8"/>
  <c r="O165" i="8"/>
  <c r="Q165" i="8"/>
  <c r="S165" i="8"/>
  <c r="U165" i="8"/>
  <c r="W165" i="8"/>
  <c r="Y165" i="8"/>
  <c r="AA165" i="8"/>
  <c r="AC165" i="8"/>
  <c r="AE165" i="8"/>
  <c r="AG165" i="8"/>
  <c r="AI165" i="8"/>
  <c r="AK165" i="8"/>
  <c r="I166" i="8"/>
  <c r="K166" i="8"/>
  <c r="M166" i="8"/>
  <c r="O166" i="8"/>
  <c r="Q166" i="8"/>
  <c r="S166" i="8"/>
  <c r="U166" i="8"/>
  <c r="W166" i="8"/>
  <c r="Y166" i="8"/>
  <c r="AA166" i="8"/>
  <c r="AC166" i="8"/>
  <c r="AE166" i="8"/>
  <c r="AG166" i="8"/>
  <c r="AI166" i="8"/>
  <c r="AK166" i="8"/>
  <c r="I172" i="8"/>
  <c r="K172" i="8"/>
  <c r="M172" i="8"/>
  <c r="O172" i="8"/>
  <c r="Q172" i="8"/>
  <c r="S172" i="8"/>
  <c r="U172" i="8"/>
  <c r="W172" i="8"/>
  <c r="Y172" i="8"/>
  <c r="AA172" i="8"/>
  <c r="AC172" i="8"/>
  <c r="AE172" i="8"/>
  <c r="AG172" i="8"/>
  <c r="AI172" i="8"/>
  <c r="AK172" i="8"/>
  <c r="I173" i="8"/>
  <c r="K173" i="8"/>
  <c r="M173" i="8"/>
  <c r="O173" i="8"/>
  <c r="Q173" i="8"/>
  <c r="S173" i="8"/>
  <c r="U173" i="8"/>
  <c r="W173" i="8"/>
  <c r="Y173" i="8"/>
  <c r="AA173" i="8"/>
  <c r="AC173" i="8"/>
  <c r="AE173" i="8"/>
  <c r="AG173" i="8"/>
  <c r="AI173" i="8"/>
  <c r="AK173" i="8"/>
  <c r="I175" i="8"/>
  <c r="K175" i="8"/>
  <c r="M175" i="8"/>
  <c r="O175" i="8"/>
  <c r="Q175" i="8"/>
  <c r="S175" i="8"/>
  <c r="U175" i="8"/>
  <c r="W175" i="8"/>
  <c r="Y175" i="8"/>
  <c r="AA175" i="8"/>
  <c r="AC175" i="8"/>
  <c r="AE175" i="8"/>
  <c r="AG175" i="8"/>
  <c r="AI175" i="8"/>
  <c r="AK175" i="8"/>
  <c r="I176" i="8"/>
  <c r="K176" i="8"/>
  <c r="M176" i="8"/>
  <c r="O176" i="8"/>
  <c r="Q176" i="8"/>
  <c r="S176" i="8"/>
  <c r="U176" i="8"/>
  <c r="W176" i="8"/>
  <c r="Y176" i="8"/>
  <c r="AA176" i="8"/>
  <c r="AC176" i="8"/>
  <c r="AE176" i="8"/>
  <c r="AG176" i="8"/>
  <c r="AI176" i="8"/>
  <c r="AK176" i="8"/>
  <c r="F52" i="6"/>
  <c r="G52" i="6"/>
  <c r="G51" i="6" s="1"/>
  <c r="H52" i="6"/>
  <c r="H51" i="6" s="1"/>
  <c r="F63" i="6"/>
  <c r="F51" i="6" s="1"/>
  <c r="G63" i="6"/>
  <c r="H63" i="6"/>
  <c r="S87" i="6"/>
  <c r="S86" i="6"/>
  <c r="S85" i="6"/>
  <c r="S84" i="6"/>
  <c r="S83" i="6"/>
  <c r="S82" i="6"/>
  <c r="S81" i="6"/>
  <c r="S80" i="6"/>
  <c r="S78" i="6"/>
  <c r="S77" i="6"/>
  <c r="S76" i="6"/>
  <c r="S75" i="6"/>
  <c r="M201" i="8" l="1"/>
  <c r="Q201" i="8"/>
  <c r="I201" i="8"/>
  <c r="AK224" i="8"/>
  <c r="AK222" i="8"/>
  <c r="AK223" i="8"/>
  <c r="AK221" i="8"/>
  <c r="AK220" i="8"/>
  <c r="AK219" i="8"/>
  <c r="AI224" i="8"/>
  <c r="AI222" i="8"/>
  <c r="AI223" i="8"/>
  <c r="AI221" i="8"/>
  <c r="AI220" i="8"/>
  <c r="AI219" i="8"/>
  <c r="AG224" i="8"/>
  <c r="AG222" i="8"/>
  <c r="AG223" i="8"/>
  <c r="AG220" i="8"/>
  <c r="AG221" i="8"/>
  <c r="AG219" i="8"/>
  <c r="AE224" i="8"/>
  <c r="AE222" i="8"/>
  <c r="AE223" i="8"/>
  <c r="AE220" i="8"/>
  <c r="AE221" i="8"/>
  <c r="AE219" i="8"/>
  <c r="AC224" i="8"/>
  <c r="AC222" i="8"/>
  <c r="AC223" i="8"/>
  <c r="AC220" i="8"/>
  <c r="AC221" i="8"/>
  <c r="AC219" i="8"/>
  <c r="AA224" i="8"/>
  <c r="AA222" i="8"/>
  <c r="AA223" i="8"/>
  <c r="AA220" i="8"/>
  <c r="AA221" i="8"/>
  <c r="AA219" i="8"/>
  <c r="Y224" i="8"/>
  <c r="Y222" i="8"/>
  <c r="Y223" i="8"/>
  <c r="Y220" i="8"/>
  <c r="Y221" i="8"/>
  <c r="Y219" i="8"/>
  <c r="W224" i="8"/>
  <c r="W222" i="8"/>
  <c r="W223" i="8"/>
  <c r="W220" i="8"/>
  <c r="W221" i="8"/>
  <c r="W219" i="8"/>
  <c r="U224" i="8"/>
  <c r="U222" i="8"/>
  <c r="U223" i="8"/>
  <c r="U220" i="8"/>
  <c r="U221" i="8"/>
  <c r="U219" i="8"/>
  <c r="S224" i="8"/>
  <c r="S222" i="8"/>
  <c r="S223" i="8"/>
  <c r="S220" i="8"/>
  <c r="S221" i="8"/>
  <c r="S219" i="8"/>
  <c r="Q224" i="8"/>
  <c r="Q222" i="8"/>
  <c r="Q223" i="8"/>
  <c r="Q220" i="8"/>
  <c r="Q221" i="8"/>
  <c r="Q219" i="8"/>
  <c r="O224" i="8"/>
  <c r="O222" i="8"/>
  <c r="O223" i="8"/>
  <c r="O220" i="8"/>
  <c r="O221" i="8"/>
  <c r="O219" i="8"/>
  <c r="M224" i="8"/>
  <c r="M222" i="8"/>
  <c r="M223" i="8"/>
  <c r="M220" i="8"/>
  <c r="M221" i="8"/>
  <c r="M219" i="8"/>
  <c r="K224" i="8"/>
  <c r="K222" i="8"/>
  <c r="K223" i="8"/>
  <c r="K220" i="8"/>
  <c r="K221" i="8"/>
  <c r="K219" i="8"/>
  <c r="I224" i="8"/>
  <c r="I222" i="8"/>
  <c r="I223" i="8"/>
  <c r="I220" i="8"/>
  <c r="I221" i="8"/>
  <c r="I219" i="8"/>
  <c r="G224" i="8"/>
  <c r="G222" i="8"/>
  <c r="G223" i="8"/>
  <c r="G220" i="8"/>
  <c r="G221" i="8"/>
  <c r="G219" i="8"/>
  <c r="AI218" i="8"/>
  <c r="AI216" i="8"/>
  <c r="AI214" i="8"/>
  <c r="AI217" i="8"/>
  <c r="AI215" i="8"/>
  <c r="AI213" i="8"/>
  <c r="AE218" i="8"/>
  <c r="AE216" i="8"/>
  <c r="AE214" i="8"/>
  <c r="AE217" i="8"/>
  <c r="AE215" i="8"/>
  <c r="AE213" i="8"/>
  <c r="AA218" i="8"/>
  <c r="AA216" i="8"/>
  <c r="AA214" i="8"/>
  <c r="AA217" i="8"/>
  <c r="AA215" i="8"/>
  <c r="AA213" i="8"/>
  <c r="W218" i="8"/>
  <c r="W216" i="8"/>
  <c r="W214" i="8"/>
  <c r="W217" i="8"/>
  <c r="W215" i="8"/>
  <c r="W213" i="8"/>
  <c r="S218" i="8"/>
  <c r="S216" i="8"/>
  <c r="S214" i="8"/>
  <c r="S217" i="8"/>
  <c r="S215" i="8"/>
  <c r="S213" i="8"/>
  <c r="O218" i="8"/>
  <c r="O216" i="8"/>
  <c r="O214" i="8"/>
  <c r="O217" i="8"/>
  <c r="O215" i="8"/>
  <c r="O213" i="8"/>
  <c r="K218" i="8"/>
  <c r="K216" i="8"/>
  <c r="K214" i="8"/>
  <c r="K217" i="8"/>
  <c r="K215" i="8"/>
  <c r="K213" i="8"/>
  <c r="G218" i="8"/>
  <c r="G216" i="8"/>
  <c r="G214" i="8"/>
  <c r="G217" i="8"/>
  <c r="G215" i="8"/>
  <c r="G213" i="8"/>
  <c r="K5" i="8"/>
  <c r="J54" i="8"/>
  <c r="AL223" i="8"/>
  <c r="AL221" i="8"/>
  <c r="AL224" i="8"/>
  <c r="AL222" i="8"/>
  <c r="AL219" i="8"/>
  <c r="AL220" i="8"/>
  <c r="AJ223" i="8"/>
  <c r="AJ221" i="8"/>
  <c r="AJ224" i="8"/>
  <c r="AJ222" i="8"/>
  <c r="AJ219" i="8"/>
  <c r="AJ220" i="8"/>
  <c r="AH223" i="8"/>
  <c r="AH221" i="8"/>
  <c r="AH224" i="8"/>
  <c r="AH222" i="8"/>
  <c r="AH219" i="8"/>
  <c r="AH220" i="8"/>
  <c r="AF223" i="8"/>
  <c r="AF224" i="8"/>
  <c r="AF222" i="8"/>
  <c r="AF221" i="8"/>
  <c r="AF219" i="8"/>
  <c r="AF220" i="8"/>
  <c r="AD223" i="8"/>
  <c r="AD224" i="8"/>
  <c r="AD222" i="8"/>
  <c r="AD221" i="8"/>
  <c r="AD219" i="8"/>
  <c r="AD220" i="8"/>
  <c r="AB223" i="8"/>
  <c r="AB224" i="8"/>
  <c r="AB222" i="8"/>
  <c r="AB221" i="8"/>
  <c r="AB219" i="8"/>
  <c r="AB220" i="8"/>
  <c r="Z223" i="8"/>
  <c r="Z224" i="8"/>
  <c r="Z222" i="8"/>
  <c r="Z221" i="8"/>
  <c r="Z219" i="8"/>
  <c r="Z220" i="8"/>
  <c r="X223" i="8"/>
  <c r="X224" i="8"/>
  <c r="X222" i="8"/>
  <c r="X221" i="8"/>
  <c r="X219" i="8"/>
  <c r="X220" i="8"/>
  <c r="V223" i="8"/>
  <c r="V224" i="8"/>
  <c r="V222" i="8"/>
  <c r="V221" i="8"/>
  <c r="V219" i="8"/>
  <c r="V220" i="8"/>
  <c r="T223" i="8"/>
  <c r="T224" i="8"/>
  <c r="T222" i="8"/>
  <c r="T221" i="8"/>
  <c r="T219" i="8"/>
  <c r="T220" i="8"/>
  <c r="R223" i="8"/>
  <c r="R224" i="8"/>
  <c r="R222" i="8"/>
  <c r="R221" i="8"/>
  <c r="R219" i="8"/>
  <c r="R220" i="8"/>
  <c r="P223" i="8"/>
  <c r="P224" i="8"/>
  <c r="P222" i="8"/>
  <c r="P221" i="8"/>
  <c r="P219" i="8"/>
  <c r="P220" i="8"/>
  <c r="N223" i="8"/>
  <c r="N224" i="8"/>
  <c r="N222" i="8"/>
  <c r="N221" i="8"/>
  <c r="N219" i="8"/>
  <c r="N220" i="8"/>
  <c r="L223" i="8"/>
  <c r="L224" i="8"/>
  <c r="L222" i="8"/>
  <c r="L221" i="8"/>
  <c r="L219" i="8"/>
  <c r="L220" i="8"/>
  <c r="J223" i="8"/>
  <c r="J224" i="8"/>
  <c r="J222" i="8"/>
  <c r="J221" i="8"/>
  <c r="J219" i="8"/>
  <c r="J220" i="8"/>
  <c r="H223" i="8"/>
  <c r="H224" i="8"/>
  <c r="H222" i="8"/>
  <c r="H221" i="8"/>
  <c r="H219" i="8"/>
  <c r="H220" i="8"/>
  <c r="F223" i="8"/>
  <c r="F224" i="8"/>
  <c r="F222" i="8"/>
  <c r="F221" i="8"/>
  <c r="F219" i="8"/>
  <c r="F220" i="8"/>
  <c r="AJ217" i="8"/>
  <c r="AJ215" i="8"/>
  <c r="AJ213" i="8"/>
  <c r="AJ218" i="8"/>
  <c r="AJ216" i="8"/>
  <c r="AJ214" i="8"/>
  <c r="AF217" i="8"/>
  <c r="AF215" i="8"/>
  <c r="AF213" i="8"/>
  <c r="AF218" i="8"/>
  <c r="AF216" i="8"/>
  <c r="AF214" i="8"/>
  <c r="AB217" i="8"/>
  <c r="AB215" i="8"/>
  <c r="AB213" i="8"/>
  <c r="AB218" i="8"/>
  <c r="AB216" i="8"/>
  <c r="AB214" i="8"/>
  <c r="X217" i="8"/>
  <c r="X215" i="8"/>
  <c r="X213" i="8"/>
  <c r="X218" i="8"/>
  <c r="X216" i="8"/>
  <c r="X214" i="8"/>
  <c r="T217" i="8"/>
  <c r="T215" i="8"/>
  <c r="T213" i="8"/>
  <c r="T218" i="8"/>
  <c r="T216" i="8"/>
  <c r="T214" i="8"/>
  <c r="P217" i="8"/>
  <c r="P215" i="8"/>
  <c r="P213" i="8"/>
  <c r="P218" i="8"/>
  <c r="P216" i="8"/>
  <c r="P214" i="8"/>
  <c r="L217" i="8"/>
  <c r="L215" i="8"/>
  <c r="L213" i="8"/>
  <c r="L218" i="8"/>
  <c r="L216" i="8"/>
  <c r="L214" i="8"/>
  <c r="H217" i="8"/>
  <c r="H215" i="8"/>
  <c r="H213" i="8"/>
  <c r="H218" i="8"/>
  <c r="H216" i="8"/>
  <c r="H214" i="8"/>
  <c r="Q204" i="8"/>
  <c r="Q208" i="8"/>
  <c r="Q203" i="8"/>
  <c r="Q207" i="8"/>
  <c r="Q211" i="8"/>
  <c r="O202" i="8"/>
  <c r="O206" i="8"/>
  <c r="O201" i="8"/>
  <c r="O209" i="8"/>
  <c r="M204" i="8"/>
  <c r="M208" i="8"/>
  <c r="M203" i="8"/>
  <c r="M207" i="8"/>
  <c r="M211" i="8"/>
  <c r="K202" i="8"/>
  <c r="K206" i="8"/>
  <c r="K201" i="8"/>
  <c r="K209" i="8"/>
  <c r="I204" i="8"/>
  <c r="I208" i="8"/>
  <c r="I203" i="8"/>
  <c r="I207" i="8"/>
  <c r="I211" i="8"/>
  <c r="G202" i="8"/>
  <c r="G206" i="8"/>
  <c r="G201" i="8"/>
  <c r="G209" i="8"/>
  <c r="R202" i="8"/>
  <c r="R206" i="8"/>
  <c r="P200" i="8"/>
  <c r="P204" i="8"/>
  <c r="P208" i="8"/>
  <c r="N202" i="8"/>
  <c r="N206" i="8"/>
  <c r="L200" i="8"/>
  <c r="L204" i="8"/>
  <c r="L208" i="8"/>
  <c r="J202" i="8"/>
  <c r="J206" i="8"/>
  <c r="H200" i="8"/>
  <c r="H204" i="8"/>
  <c r="H208" i="8"/>
  <c r="AK218" i="8"/>
  <c r="AK216" i="8"/>
  <c r="AK214" i="8"/>
  <c r="AK217" i="8"/>
  <c r="AK215" i="8"/>
  <c r="AK213" i="8"/>
  <c r="AG218" i="8"/>
  <c r="AG216" i="8"/>
  <c r="AG214" i="8"/>
  <c r="AG217" i="8"/>
  <c r="AG215" i="8"/>
  <c r="AG213" i="8"/>
  <c r="AC218" i="8"/>
  <c r="AC216" i="8"/>
  <c r="AC214" i="8"/>
  <c r="AC217" i="8"/>
  <c r="AC215" i="8"/>
  <c r="AC213" i="8"/>
  <c r="Y218" i="8"/>
  <c r="Y216" i="8"/>
  <c r="Y214" i="8"/>
  <c r="Y217" i="8"/>
  <c r="Y215" i="8"/>
  <c r="Y213" i="8"/>
  <c r="U218" i="8"/>
  <c r="U216" i="8"/>
  <c r="U214" i="8"/>
  <c r="U217" i="8"/>
  <c r="U215" i="8"/>
  <c r="U213" i="8"/>
  <c r="Q218" i="8"/>
  <c r="Q216" i="8"/>
  <c r="Q214" i="8"/>
  <c r="Q217" i="8"/>
  <c r="Q215" i="8"/>
  <c r="Q213" i="8"/>
  <c r="M218" i="8"/>
  <c r="M216" i="8"/>
  <c r="M214" i="8"/>
  <c r="M217" i="8"/>
  <c r="M215" i="8"/>
  <c r="M213" i="8"/>
  <c r="I218" i="8"/>
  <c r="I216" i="8"/>
  <c r="I214" i="8"/>
  <c r="I217" i="8"/>
  <c r="I215" i="8"/>
  <c r="I213" i="8"/>
  <c r="G5" i="8"/>
  <c r="H54" i="8"/>
  <c r="AL217" i="8"/>
  <c r="AL215" i="8"/>
  <c r="AL213" i="8"/>
  <c r="AL218" i="8"/>
  <c r="AL216" i="8"/>
  <c r="AL214" i="8"/>
  <c r="AH217" i="8"/>
  <c r="AH215" i="8"/>
  <c r="AH213" i="8"/>
  <c r="AH218" i="8"/>
  <c r="AH216" i="8"/>
  <c r="AH214" i="8"/>
  <c r="AD217" i="8"/>
  <c r="AD215" i="8"/>
  <c r="AD213" i="8"/>
  <c r="AD218" i="8"/>
  <c r="AD216" i="8"/>
  <c r="AD214" i="8"/>
  <c r="Z217" i="8"/>
  <c r="Z215" i="8"/>
  <c r="Z213" i="8"/>
  <c r="Z218" i="8"/>
  <c r="Z216" i="8"/>
  <c r="Z214" i="8"/>
  <c r="V217" i="8"/>
  <c r="V215" i="8"/>
  <c r="V213" i="8"/>
  <c r="V218" i="8"/>
  <c r="V216" i="8"/>
  <c r="V214" i="8"/>
  <c r="R217" i="8"/>
  <c r="R215" i="8"/>
  <c r="R213" i="8"/>
  <c r="R218" i="8"/>
  <c r="R216" i="8"/>
  <c r="R214" i="8"/>
  <c r="N217" i="8"/>
  <c r="N215" i="8"/>
  <c r="N213" i="8"/>
  <c r="N218" i="8"/>
  <c r="N216" i="8"/>
  <c r="N214" i="8"/>
  <c r="J217" i="8"/>
  <c r="J215" i="8"/>
  <c r="J213" i="8"/>
  <c r="J218" i="8"/>
  <c r="J216" i="8"/>
  <c r="J214" i="8"/>
  <c r="F217" i="8"/>
  <c r="F215" i="8"/>
  <c r="F213" i="8"/>
  <c r="F218" i="8"/>
  <c r="F216" i="8"/>
  <c r="F214" i="8"/>
  <c r="Q206" i="8"/>
  <c r="Q209" i="8"/>
  <c r="O203" i="8"/>
  <c r="O207" i="8"/>
  <c r="O211" i="8"/>
  <c r="M206" i="8"/>
  <c r="M209" i="8"/>
  <c r="K203" i="8"/>
  <c r="K207" i="8"/>
  <c r="K211" i="8"/>
  <c r="I206" i="8"/>
  <c r="I209" i="8"/>
  <c r="G203" i="8"/>
  <c r="G207" i="8"/>
  <c r="G211" i="8"/>
  <c r="R200" i="8"/>
  <c r="P206" i="8"/>
  <c r="N200" i="8"/>
  <c r="L206" i="8"/>
  <c r="J200" i="8"/>
  <c r="H206" i="8"/>
  <c r="S60" i="6"/>
  <c r="S59" i="6"/>
  <c r="S58" i="6"/>
  <c r="S57" i="6"/>
  <c r="S97" i="6"/>
  <c r="P97" i="6"/>
  <c r="O97" i="6"/>
  <c r="N97" i="6"/>
  <c r="M97" i="6"/>
  <c r="L97" i="6"/>
  <c r="K97" i="6"/>
  <c r="J97" i="6"/>
  <c r="I97" i="6"/>
  <c r="H97" i="6"/>
  <c r="G97" i="6"/>
  <c r="S96" i="6"/>
  <c r="S98" i="6" s="1"/>
  <c r="P96" i="6"/>
  <c r="P98" i="6" s="1"/>
  <c r="O96" i="6"/>
  <c r="O98" i="6" s="1"/>
  <c r="N96" i="6"/>
  <c r="N98" i="6" s="1"/>
  <c r="M96" i="6"/>
  <c r="M98" i="6" s="1"/>
  <c r="L96" i="6"/>
  <c r="L98" i="6" s="1"/>
  <c r="K96" i="6"/>
  <c r="K98" i="6" s="1"/>
  <c r="J96" i="6"/>
  <c r="J98" i="6" s="1"/>
  <c r="I96" i="6"/>
  <c r="I98" i="6" s="1"/>
  <c r="H96" i="6"/>
  <c r="H98" i="6" s="1"/>
  <c r="G96" i="6"/>
  <c r="G98" i="6" s="1"/>
  <c r="S93" i="6"/>
  <c r="P93" i="6"/>
  <c r="O93" i="6"/>
  <c r="N93" i="6"/>
  <c r="M93" i="6"/>
  <c r="L93" i="6"/>
  <c r="K93" i="6"/>
  <c r="J93" i="6"/>
  <c r="I93" i="6"/>
  <c r="H93" i="6"/>
  <c r="G93" i="6"/>
  <c r="S92" i="6"/>
  <c r="S94" i="6" s="1"/>
  <c r="P92" i="6"/>
  <c r="P94" i="6" s="1"/>
  <c r="O92" i="6"/>
  <c r="O94" i="6" s="1"/>
  <c r="N92" i="6"/>
  <c r="N94" i="6" s="1"/>
  <c r="M92" i="6"/>
  <c r="M94" i="6" s="1"/>
  <c r="L92" i="6"/>
  <c r="L94" i="6" s="1"/>
  <c r="K92" i="6"/>
  <c r="K94" i="6" s="1"/>
  <c r="J92" i="6"/>
  <c r="J94" i="6" s="1"/>
  <c r="I92" i="6"/>
  <c r="I94" i="6" s="1"/>
  <c r="H92" i="6"/>
  <c r="H94" i="6" s="1"/>
  <c r="G92" i="6"/>
  <c r="G94" i="6" s="1"/>
  <c r="S74" i="6"/>
  <c r="S73" i="6"/>
  <c r="S72" i="6"/>
  <c r="S71" i="6"/>
  <c r="S70" i="6"/>
  <c r="F69" i="6"/>
  <c r="F68" i="6"/>
  <c r="P67" i="6"/>
  <c r="O67" i="6"/>
  <c r="N67" i="6"/>
  <c r="M67" i="6"/>
  <c r="L67" i="6"/>
  <c r="K67" i="6"/>
  <c r="J67" i="6"/>
  <c r="I67" i="6"/>
  <c r="H67" i="6"/>
  <c r="G67" i="6"/>
  <c r="F67" i="6"/>
  <c r="S67" i="6" s="1"/>
  <c r="F66" i="6"/>
  <c r="F65" i="6"/>
  <c r="P64" i="6"/>
  <c r="O64" i="6"/>
  <c r="N64" i="6"/>
  <c r="M64" i="6"/>
  <c r="L64" i="6"/>
  <c r="K64" i="6"/>
  <c r="J64" i="6"/>
  <c r="I64" i="6"/>
  <c r="H64" i="6"/>
  <c r="G64" i="6"/>
  <c r="F64" i="6"/>
  <c r="S64" i="6" s="1"/>
  <c r="R63" i="6"/>
  <c r="Q63" i="6"/>
  <c r="P63" i="6"/>
  <c r="O63" i="6"/>
  <c r="N63" i="6"/>
  <c r="M63" i="6"/>
  <c r="L63" i="6"/>
  <c r="K63" i="6"/>
  <c r="J63" i="6"/>
  <c r="I63" i="6"/>
  <c r="S62" i="6"/>
  <c r="S61" i="6"/>
  <c r="S56" i="6"/>
  <c r="S55" i="6"/>
  <c r="S54" i="6"/>
  <c r="S53" i="6"/>
  <c r="R52" i="6"/>
  <c r="Q52" i="6"/>
  <c r="P52" i="6"/>
  <c r="O52" i="6"/>
  <c r="N52" i="6"/>
  <c r="M52" i="6"/>
  <c r="L52" i="6"/>
  <c r="K52" i="6"/>
  <c r="J52" i="6"/>
  <c r="I52" i="6"/>
  <c r="Q39" i="6"/>
  <c r="P39" i="6"/>
  <c r="O39" i="6"/>
  <c r="N39" i="6"/>
  <c r="M39" i="6"/>
  <c r="L39" i="6"/>
  <c r="K39" i="6"/>
  <c r="J39" i="6"/>
  <c r="I39" i="6"/>
  <c r="H39" i="6"/>
  <c r="G39" i="6"/>
  <c r="F39" i="6"/>
  <c r="S38" i="6"/>
  <c r="S37" i="6"/>
  <c r="S36" i="6"/>
  <c r="S35" i="6"/>
  <c r="G35" i="6"/>
  <c r="S34" i="6"/>
  <c r="G34" i="6"/>
  <c r="S33" i="6"/>
  <c r="S32" i="6"/>
  <c r="G32" i="6"/>
  <c r="S31" i="6"/>
  <c r="G31" i="6"/>
  <c r="S30" i="6"/>
  <c r="G30" i="6"/>
  <c r="S29" i="6"/>
  <c r="S28" i="6"/>
  <c r="S27" i="6"/>
  <c r="S26" i="6"/>
  <c r="G26" i="6"/>
  <c r="S25" i="6"/>
  <c r="G25" i="6"/>
  <c r="S24" i="6"/>
  <c r="S23" i="6"/>
  <c r="S22" i="6"/>
  <c r="S21" i="6"/>
  <c r="S20" i="6"/>
  <c r="S19" i="6"/>
  <c r="S18" i="6"/>
  <c r="R17" i="6"/>
  <c r="Q17" i="6"/>
  <c r="P17" i="6"/>
  <c r="O17" i="6"/>
  <c r="O10" i="6" s="1"/>
  <c r="N17" i="6"/>
  <c r="N10" i="6" s="1"/>
  <c r="M17" i="6"/>
  <c r="M10" i="6" s="1"/>
  <c r="L17" i="6"/>
  <c r="K17" i="6"/>
  <c r="J17" i="6"/>
  <c r="I17" i="6"/>
  <c r="H17" i="6"/>
  <c r="G17" i="6"/>
  <c r="F17" i="6"/>
  <c r="F10" i="6" s="1"/>
  <c r="S16" i="6"/>
  <c r="S15" i="6"/>
  <c r="S14" i="6"/>
  <c r="S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R11" i="6"/>
  <c r="Q11" i="6"/>
  <c r="N11" i="6"/>
  <c r="M11" i="6"/>
  <c r="L11" i="6"/>
  <c r="K11" i="6"/>
  <c r="H11" i="6"/>
  <c r="G11" i="6"/>
  <c r="Q10" i="6"/>
  <c r="P10" i="6"/>
  <c r="L10" i="6"/>
  <c r="K10" i="6"/>
  <c r="I10" i="6"/>
  <c r="H10" i="6"/>
  <c r="G10" i="6"/>
  <c r="R9" i="6"/>
  <c r="Q9" i="6"/>
  <c r="P9" i="6"/>
  <c r="O9" i="6"/>
  <c r="N9" i="6"/>
  <c r="M9" i="6"/>
  <c r="L9" i="6"/>
  <c r="K9" i="6"/>
  <c r="I11" i="6" l="1"/>
  <c r="P11" i="6"/>
  <c r="J9" i="6"/>
  <c r="L51" i="6"/>
  <c r="L8" i="6" s="1"/>
  <c r="M51" i="6"/>
  <c r="M8" i="6" s="1"/>
  <c r="G54" i="8"/>
  <c r="F5" i="8"/>
  <c r="K54" i="8"/>
  <c r="L5" i="8"/>
  <c r="O11" i="6"/>
  <c r="I9" i="6"/>
  <c r="S12" i="6"/>
  <c r="F11" i="6"/>
  <c r="O51" i="6"/>
  <c r="O8" i="6" s="1"/>
  <c r="Q51" i="6"/>
  <c r="Q8" i="6" s="1"/>
  <c r="P51" i="6"/>
  <c r="R51" i="6"/>
  <c r="R8" i="6" s="1"/>
  <c r="N51" i="6"/>
  <c r="N8" i="6" s="1"/>
  <c r="J10" i="6"/>
  <c r="P8" i="6"/>
  <c r="R10" i="6"/>
  <c r="S63" i="6"/>
  <c r="J51" i="6"/>
  <c r="K51" i="6"/>
  <c r="K8" i="6" s="1"/>
  <c r="S52" i="6"/>
  <c r="S9" i="6" s="1"/>
  <c r="I51" i="6"/>
  <c r="I8" i="6" s="1"/>
  <c r="J11" i="6"/>
  <c r="S17" i="6"/>
  <c r="H8" i="6"/>
  <c r="H9" i="6"/>
  <c r="M5" i="8" l="1"/>
  <c r="L54" i="8"/>
  <c r="E5" i="8"/>
  <c r="E54" i="8" s="1"/>
  <c r="F54" i="8"/>
  <c r="S51" i="6"/>
  <c r="S10" i="6"/>
  <c r="J8" i="6"/>
  <c r="S11" i="6"/>
  <c r="G8" i="6"/>
  <c r="G9" i="6"/>
  <c r="M54" i="8" l="1"/>
  <c r="N5" i="8"/>
  <c r="S8" i="6"/>
  <c r="O5" i="8" l="1"/>
  <c r="N54" i="8"/>
  <c r="F9" i="6"/>
  <c r="F8" i="6"/>
  <c r="O54" i="8" l="1"/>
  <c r="P5" i="8"/>
  <c r="Q5" i="8" l="1"/>
  <c r="P54" i="8"/>
  <c r="Q54" i="8" l="1"/>
  <c r="R5" i="8"/>
  <c r="S5" i="8" l="1"/>
  <c r="R54" i="8"/>
  <c r="S54" i="8" l="1"/>
  <c r="T5" i="8"/>
  <c r="U5" i="8" l="1"/>
  <c r="T54" i="8"/>
  <c r="U54" i="8" l="1"/>
  <c r="V5" i="8"/>
  <c r="W5" i="8" l="1"/>
  <c r="V54" i="8"/>
  <c r="W54" i="8" l="1"/>
  <c r="X5" i="8"/>
  <c r="Y5" i="8" l="1"/>
  <c r="X54" i="8"/>
  <c r="Y54" i="8" l="1"/>
  <c r="Z5" i="8"/>
  <c r="AA5" i="8" l="1"/>
  <c r="Z54" i="8"/>
  <c r="AA54" i="8" l="1"/>
  <c r="AB5" i="8"/>
  <c r="AC5" i="8" l="1"/>
  <c r="AB54" i="8"/>
  <c r="AC54" i="8" l="1"/>
  <c r="AD5" i="8"/>
  <c r="AE5" i="8" l="1"/>
  <c r="AD54" i="8"/>
  <c r="AE54" i="8" l="1"/>
  <c r="AF5" i="8"/>
  <c r="AG5" i="8" l="1"/>
  <c r="AF54" i="8"/>
  <c r="AG54" i="8" l="1"/>
  <c r="AH5" i="8"/>
  <c r="AI5" i="8" l="1"/>
  <c r="AH54" i="8"/>
  <c r="AI54" i="8" l="1"/>
  <c r="AJ5" i="8"/>
  <c r="AK5" i="8" l="1"/>
  <c r="AJ54" i="8"/>
  <c r="AK54" i="8" l="1"/>
  <c r="AL5" i="8"/>
  <c r="AL54" i="8" s="1"/>
</calcChain>
</file>

<file path=xl/sharedStrings.xml><?xml version="1.0" encoding="utf-8"?>
<sst xmlns="http://schemas.openxmlformats.org/spreadsheetml/2006/main" count="1621" uniqueCount="618">
  <si>
    <t>Lp.</t>
  </si>
  <si>
    <t>1.1</t>
  </si>
  <si>
    <t>1.1.1</t>
  </si>
  <si>
    <t>1.1.2</t>
  </si>
  <si>
    <t>1.2</t>
  </si>
  <si>
    <t>1.2.1</t>
  </si>
  <si>
    <t>1.2.2</t>
  </si>
  <si>
    <t>w złotych</t>
  </si>
  <si>
    <t>Nazwa i cel przedsięwzięcia</t>
  </si>
  <si>
    <t>Jednostka organizacyjna odpowiedzialna za realizację lub koordynująca wykonywanie przedsięwzięcia</t>
  </si>
  <si>
    <t>Okres realizacji</t>
  </si>
  <si>
    <t>Łączne nakłady finansowe
(w zł)</t>
  </si>
  <si>
    <t>Limit
zobowiązań
(w zł)</t>
  </si>
  <si>
    <t>od</t>
  </si>
  <si>
    <t>do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</si>
  <si>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</si>
  <si>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</si>
  <si>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</si>
  <si>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</si>
  <si>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</si>
  <si>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</si>
  <si>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</si>
  <si>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</si>
  <si>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</si>
  <si>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</si>
  <si>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2022r.</t>
  </si>
  <si>
    <t>2023r.</t>
  </si>
  <si>
    <t>1.</t>
  </si>
  <si>
    <t>Wydatki na przedsięwzięcia - ogółem ( 1.1 + 1.2 +1.3) z  tego:</t>
  </si>
  <si>
    <t>1.a</t>
  </si>
  <si>
    <t xml:space="preserve"> - wydatki bieżące</t>
  </si>
  <si>
    <t>1.b</t>
  </si>
  <si>
    <t xml:space="preserve"> - wydatki majątkowe</t>
  </si>
  <si>
    <t>Wydatki na programy, projekty lub zadania zwiazane z programami realizowanymi z udziałem środków, o których mowa w art..5 ust.1 pkt 2 i 3 ustawy z dnia 27 sierpnia 2009 r. o finansach publicznych ( Dz.U. Nr 157, poz.1240, z póź.zm.), z tego:</t>
  </si>
  <si>
    <t>1.1.1.1</t>
  </si>
  <si>
    <t>Przeciwdziałanie wykluczeniu cyfrowemu -Internet dla mieszkańców Gminy Kobylanka</t>
  </si>
  <si>
    <t>Urząd Gminy Kobylanka     SRGK 3.4.1.1</t>
  </si>
  <si>
    <t xml:space="preserve"> - </t>
  </si>
  <si>
    <t>1.1.1.2</t>
  </si>
  <si>
    <t>Integracja społeczna w Powiecie Stargardzkim  POKL</t>
  </si>
  <si>
    <t xml:space="preserve">Urząd Gminy Kobylanka     </t>
  </si>
  <si>
    <t>1.1.1.3</t>
  </si>
  <si>
    <t>projekt w ramach POKL " Myślę, liczę, działam" - Wyrównywanie szans edukacyjnych uczniów z grup o utrudnionym dostępie do edukacji, zmniejszenie różnic w jakości usług edukacyjnych</t>
  </si>
  <si>
    <t>Urząd Gminy Kobylanka</t>
  </si>
  <si>
    <t>1.1.1.4</t>
  </si>
  <si>
    <t xml:space="preserve">Powołanie "Forum Przedsiębiorców" </t>
  </si>
  <si>
    <t>Urząd Gminy Kobylanka     SRGK 1.1.2.1</t>
  </si>
  <si>
    <t>Zorganizowanie cyklu szkoleń i spotkań dla lokalnych rolników, mających na celu doradztwo w zakresie pozyskania dofinansowania z UE i podnoszenia efektywności działalności rolniczej - 1 szkolenie/rok</t>
  </si>
  <si>
    <t>Urząd Gminy Kobylanka     SRGK 1.2.1.1</t>
  </si>
  <si>
    <t>Zorganizowanie cyklu szkoleń i spotkań dla lokalnych rolników, mających na celu doradztwo w zakresie pozyskania dofinansowania z UE  - 1 szkolenie/rok - Promocja i wspieranie rozwoju rolnictwa ekologicznego</t>
  </si>
  <si>
    <t>Urząd Gminy Kobylanka     SRGK 1.2.2.1</t>
  </si>
  <si>
    <t>Zorganizowanie cyklu szkoleń i spotkań dla lokalnych rolników, mających na celu doradztwo w zakresie pozyskania dofinansowania z UE  - 1 szkolenie/rok  -Inicjowanie zadań na rzecz tworzenia gospodarstw agroturystycznych i ekologicznych</t>
  </si>
  <si>
    <t>Urząd Gminy Kobylanka     SRGK 1.2.3.1</t>
  </si>
  <si>
    <t>POKL "Wsparcie JST w zakresie wdrożenia standartów świadczenia elektronicznych usług publicznych oraz elektronizacji wymiany  korespondencji za pomocą e-PUAP,  w tym m.in.. Poprzez wdrożenie dziedzinowych systemów informatycnych ,podniesienie kwalifikacji pracowników samorządowych w zakresie wykorzystania technologii informacyjno - komunikacyjnych ,działania informacyjne podnoszące stopień wykorzystania e-usług</t>
  </si>
  <si>
    <t>Urząd Gminy Kobylanka      SRGK 3.3.4.1.</t>
  </si>
  <si>
    <t>1.1.2.1</t>
  </si>
  <si>
    <t>Urząd Gminy Kobylanka      SRGK 3.7.1.1.</t>
  </si>
  <si>
    <t>1.1.2.2</t>
  </si>
  <si>
    <t xml:space="preserve">Przebudowa drogi gminnej Kobylanka-Jęczydół </t>
  </si>
  <si>
    <t>Urząd Gminy Kobylanka     SRGK 3.1.1.2.</t>
  </si>
  <si>
    <t>1.1.2.3</t>
  </si>
  <si>
    <t>Przebudowa drogi gminnej  Cisewo-Wielichówko</t>
  </si>
  <si>
    <t>Urząd Gminy Kobylanka     SRGK 3.1.1.3</t>
  </si>
  <si>
    <t>1.1.2.4</t>
  </si>
  <si>
    <t>Budowa dróg gminnych do terenów inwestycyjnych oraz ich uzbrojenie w media</t>
  </si>
  <si>
    <t>Urząd Gminy Kobylanka      SRGK 1.1.1.1</t>
  </si>
  <si>
    <t>1.1.2.5</t>
  </si>
  <si>
    <t>Budowa ścieżek rowerowych</t>
  </si>
  <si>
    <t>Urząd Gminy Kobylanka     SRGK 3.1.2.3.</t>
  </si>
  <si>
    <t>1.1.2.6</t>
  </si>
  <si>
    <t>Rozbudowa sieci wodociągowej na terenie gminy Kobylanka</t>
  </si>
  <si>
    <t>Urząd Gminy Kobylanka     SRGK 3.2.1.1</t>
  </si>
  <si>
    <t>1.1.2.7</t>
  </si>
  <si>
    <t>Dokończenie rozbudowy sieci kanalizacyjnejw strefie ochrony wód jeziora Miedwie- Miedwiecko za torami</t>
  </si>
  <si>
    <t>Urząd Gminy Kobylanka     SRGK 3.7.2.2.</t>
  </si>
  <si>
    <t>1.1.2.8</t>
  </si>
  <si>
    <t>Budowa sieci kanalizacyjnej, ulica Wyszyńskiego - Brzozowa w Miedwiecku</t>
  </si>
  <si>
    <t>Urząd Gminy Kobylanka     SRGK 3.7.2.1.</t>
  </si>
  <si>
    <t>1.1.2.9</t>
  </si>
  <si>
    <t>Budowa infrastruktury turystyczno - kulturalnej nad jeziorem Miedwie ( teren przy muszli koncertowej)</t>
  </si>
  <si>
    <t>Urząd Gminy Kobylanka     SRGK 2.2.1.1.</t>
  </si>
  <si>
    <t>1.1.2.10</t>
  </si>
  <si>
    <t>Budowa parkingów w miejscowościach Morzyczyn i Zieleniewo</t>
  </si>
  <si>
    <t>Urząd Gminy Kobylanka     SRGK 2.2.1.2.</t>
  </si>
  <si>
    <t>1.1.2.11</t>
  </si>
  <si>
    <t>Stworzenie szlaku wodnego do torpedowni</t>
  </si>
  <si>
    <t>Urząd Gminy Kobylanka     SRGK 2.2.2.2.</t>
  </si>
  <si>
    <t>1.1.2.12</t>
  </si>
  <si>
    <t>Budowa przystani jachtowej z infrastrukturą pomocniczą</t>
  </si>
  <si>
    <t>Urząd Gminy Kobylanka      SRGK 2.2.3.2</t>
  </si>
  <si>
    <t>1.1.2.13</t>
  </si>
  <si>
    <t>Modernizacja GOK i Biblioteki w Kobylance</t>
  </si>
  <si>
    <t>Urząd Gminy Kobylanka     SRGK 2.1.2.1</t>
  </si>
  <si>
    <t>1.1.2.14</t>
  </si>
  <si>
    <t>Modernizacja świetlicy wiejskiej w Kunowie</t>
  </si>
  <si>
    <t>Urząd Gminy Kobylanka     SRGK 2.1.2.2.</t>
  </si>
  <si>
    <t>1.1.2.15</t>
  </si>
  <si>
    <t xml:space="preserve">Modernizacja świetlicy wiejskiej w Morzyczynie </t>
  </si>
  <si>
    <t>Urząd Gminy Kobylanka     SRGK 2.1.2.4.</t>
  </si>
  <si>
    <t>1.1.2.16</t>
  </si>
  <si>
    <t>Modernizacja świetlicy wiejskiej w Bielkowie</t>
  </si>
  <si>
    <t>Urząd Gminy Kobylanka SRGK 2.1.2.5.</t>
  </si>
  <si>
    <t>1.1.2.17</t>
  </si>
  <si>
    <t>Budowa stadionu sportowego      w Reptowie</t>
  </si>
  <si>
    <t>Urząd Gminy Kobylanka     SRGK 2.1.1.1.</t>
  </si>
  <si>
    <t>1.1.2.18</t>
  </si>
  <si>
    <t>Budownictwo socjalne</t>
  </si>
  <si>
    <t>Urząd Gminy Kobylanka       SRGK 3.5.2.1.</t>
  </si>
  <si>
    <t>1.1.2.19</t>
  </si>
  <si>
    <t>Modernizacja placów zabaw na terenie gminy Kobylanka</t>
  </si>
  <si>
    <t>Urząd Gminy Kobylanka     SRGK 2.1.1.3.</t>
  </si>
  <si>
    <t>1.1.2.20</t>
  </si>
  <si>
    <t>Rozbudowa szkół na terenie gminy Kobylanka</t>
  </si>
  <si>
    <t>Urząd Gminy Kobylanka      SRGK 3.3.1.1.</t>
  </si>
  <si>
    <t>1.1.2.21</t>
  </si>
  <si>
    <t>Stwarzanie warunków do rozwoju sportów wodnych poprzez uzupełnianie infrastruktury</t>
  </si>
  <si>
    <t>Urząd Gminy Kobylanka      SRGK 2.2.3.3</t>
  </si>
  <si>
    <t>Wydatki na programy, projekty lub zadania związane z umowami partnerstwa publiczno-prywatnego, z tego:</t>
  </si>
  <si>
    <t xml:space="preserve">  Program …</t>
  </si>
  <si>
    <t>…</t>
  </si>
  <si>
    <t>1.3</t>
  </si>
  <si>
    <t>Wydatki na programy, projekty lub zadania pozostałe (inne niż wymienione w pkt 1.1   i 1.2), z tego:</t>
  </si>
  <si>
    <t>1.3.1</t>
  </si>
  <si>
    <t>1.3.1.1</t>
  </si>
  <si>
    <t>Stworzenie i realizacja szczegółowego programu współpracy z miastami partnerskimi  w porozumieniu z jednostkami organizacyjnymi i organizacjami pozarządowymi działajacymi na terenie Gminy w zakresie: oświaty, kultury, sportu, turystyk oraz przedsiębiorczosci.</t>
  </si>
  <si>
    <t>Urząd Gminy Kobylanka      SRGK 1.3.3.1.</t>
  </si>
  <si>
    <t>1.3.1.2</t>
  </si>
  <si>
    <t xml:space="preserve">Mapa Gminy, elektroniczny przewodnik po gminie                     z uwzględnieniem szlaków dla pieszych, rowerów (wypożyczalnie rowerów)              i samochodów </t>
  </si>
  <si>
    <t>Urząd Gminy Kobylanka      SRGK 2.2.2.1.</t>
  </si>
  <si>
    <t>1.3.1.3</t>
  </si>
  <si>
    <t xml:space="preserve">Tworzenie partnerstw w zakresie podnoszenia poziomu bezpieczeństwa  i porządku publicznego na terenie Gminy. </t>
  </si>
  <si>
    <t>Urząd Gminy Kobylanka      SRGK 3.6.2.1.</t>
  </si>
  <si>
    <t>1.3.1.4</t>
  </si>
  <si>
    <t>Promocja terenów pod inwestycje turystyczne w Morzyczynie            i Zieleniewie</t>
  </si>
  <si>
    <t>Urząd Gminy Kobylanka      SRGK 2.2.4.1.</t>
  </si>
  <si>
    <t>1.3.1.5</t>
  </si>
  <si>
    <t>Punkt informacji turystycznej</t>
  </si>
  <si>
    <t>Urząd Gminy Kobylanka      SRGK 2.2.3.1</t>
  </si>
  <si>
    <t>1.3.1.6</t>
  </si>
  <si>
    <t>Zabiegi pielęgnacyjne na pomnikach przyrody</t>
  </si>
  <si>
    <t>Urząd Gminy Kobylanka      SRGK 3.7.4.1</t>
  </si>
  <si>
    <t>1.3.2</t>
  </si>
  <si>
    <t>Modernizacja dróg gminnych</t>
  </si>
  <si>
    <t>Budowa drogi Zieleniewo - Miedwiecko</t>
  </si>
  <si>
    <t>1.3.2.1</t>
  </si>
  <si>
    <t>Modernizacja ul. Popiełuszki w Zieleniewie</t>
  </si>
  <si>
    <t>Urząd Gminy Kobylanka      SRGK 3.1.1.1.</t>
  </si>
  <si>
    <t>1.3.2.2</t>
  </si>
  <si>
    <t>Modernizacja dróg na terenie Gminy Kobylanka</t>
  </si>
  <si>
    <t>Urząd Gminy Kobylanka     SRGK 3.1.1.4</t>
  </si>
  <si>
    <t>1.3.2.3</t>
  </si>
  <si>
    <t>Urząd Gminy Kobylanka     SRGK 3.1.2.1.</t>
  </si>
  <si>
    <t>1.3.2.4</t>
  </si>
  <si>
    <t>Rozbudowa oświetlenia ulicznego</t>
  </si>
  <si>
    <t>Urząd Gminy Kobylanka     SRGK 3.1.2.2.</t>
  </si>
  <si>
    <t>1.3.2.5</t>
  </si>
  <si>
    <t>Urząd Gminy Kobylanka      SRGK 3.6.3.1.</t>
  </si>
  <si>
    <t>1.3.2.6</t>
  </si>
  <si>
    <t>Kanalizacja - porozumienia partycypacyjne</t>
  </si>
  <si>
    <t>Urząd Gminy Kobylanka SRGK 3.7.2.3.</t>
  </si>
  <si>
    <t>1.3.2.7</t>
  </si>
  <si>
    <t>Budowa dwóch budynków komunalnych w Kobylance</t>
  </si>
  <si>
    <t>1.3.2.8</t>
  </si>
  <si>
    <t>Miejscowe Plany Zagospodarowania Przestrzennego: Niedźwiedź (kościół), Zieleniewo(OSiR), Kobylanka (przy GPZ), Kobylanka-Jęczydół, Kobylanka-Motaniec, Motaniec -Bielkowo( tereny przemysłowe), Reptowo ( tereny przemysłowe), Rekowo-wieś, Jęczydół-Bielkowo, Kunowo (M,UT)</t>
  </si>
  <si>
    <t>Urząd Gminy Kobylanka      SRGK 1.4.1.1.</t>
  </si>
  <si>
    <t>1.3.2.9</t>
  </si>
  <si>
    <t>Modernizacja dachu i urządzenie terenu z miejscami parkingowymi przy Ośrodku Zdrowia</t>
  </si>
  <si>
    <t>Urząd Gminy Kobylanka     SRGK 3.3.2.1.</t>
  </si>
  <si>
    <t>1.3.2.10</t>
  </si>
  <si>
    <t>Przebudowa budynku Urzędu Gminy w Kobylance</t>
  </si>
  <si>
    <t>1.3.2.11</t>
  </si>
  <si>
    <t>Dokończenie budowy sieci kanalizacji sanitarnej w miejscowości Kobylanka</t>
  </si>
  <si>
    <t>1.3.2.12</t>
  </si>
  <si>
    <t>Budowa przystanków autobusowych na terenie Gminy Kobylanka</t>
  </si>
  <si>
    <t>Urząd Gminy Kobylanka     SRGK 3.3.3.1.</t>
  </si>
  <si>
    <t>1.3.2.13</t>
  </si>
  <si>
    <t>Budowa punktu przesiadkowego z zapleczem parkingowym w ramach SSOM</t>
  </si>
  <si>
    <t>Urząd Gminy Kobylanka      SRGK 3.3.3.2.</t>
  </si>
  <si>
    <t>1.3.2.14</t>
  </si>
  <si>
    <t>Modernizacja świetlicy wiejskiej w miejscowości Reptowo</t>
  </si>
  <si>
    <t>1.3.2.15</t>
  </si>
  <si>
    <t>Modernizacja świetlicy wiejskiej w Rekowie</t>
  </si>
  <si>
    <t>Urząd Gminy Kobylanka     SRGK 2.1.2.3.</t>
  </si>
  <si>
    <t>1.3.2.16</t>
  </si>
  <si>
    <t>Budowa boiska ze sztuczną nawierzchnią w Kunowie</t>
  </si>
  <si>
    <t>Urząd Gminy Kobylanka      SRGK 2.1.1.2.</t>
  </si>
  <si>
    <t>1.3.2.17</t>
  </si>
  <si>
    <t>Rozszerzenie monitoringu o miejsca szczególnie zagrożone, w tym ul Jeziorna w Morzyczynie</t>
  </si>
  <si>
    <t>Urząd Gminy Kobylanka      SRGK 3.6.1.1.</t>
  </si>
  <si>
    <r>
      <t xml:space="preserve">*) </t>
    </r>
    <r>
      <rPr>
        <b/>
        <sz val="9"/>
        <rFont val="Century Gothic"/>
        <family val="2"/>
        <charset val="238"/>
      </rPr>
      <t>n</t>
    </r>
    <r>
      <rPr>
        <sz val="9"/>
        <rFont val="Century Gothic"/>
        <family val="2"/>
        <charset val="238"/>
      </rPr>
      <t xml:space="preserve">-rok budżetowy; </t>
    </r>
    <r>
      <rPr>
        <b/>
        <sz val="9"/>
        <rFont val="Century Gothic"/>
        <family val="2"/>
        <charset val="238"/>
      </rPr>
      <t>n+1</t>
    </r>
    <r>
      <rPr>
        <sz val="9"/>
        <rFont val="Century Gothic"/>
        <family val="2"/>
        <charset val="238"/>
      </rPr>
      <t xml:space="preserve"> - rok następny po roku budżetowym; </t>
    </r>
    <r>
      <rPr>
        <b/>
        <sz val="9"/>
        <rFont val="Century Gothic"/>
        <family val="2"/>
        <charset val="238"/>
      </rPr>
      <t xml:space="preserve">n+2 </t>
    </r>
    <r>
      <rPr>
        <sz val="9"/>
        <rFont val="Century Gothic"/>
        <family val="2"/>
        <charset val="238"/>
      </rPr>
      <t>- dwa lata  po roku budżetowym;</t>
    </r>
    <r>
      <rPr>
        <b/>
        <sz val="9"/>
        <rFont val="Century Gothic"/>
        <family val="2"/>
        <charset val="238"/>
      </rPr>
      <t xml:space="preserve"> n+…</t>
    </r>
    <r>
      <rPr>
        <sz val="9"/>
        <rFont val="Century Gothic"/>
        <family val="2"/>
        <charset val="238"/>
      </rPr>
      <t xml:space="preserve"> - kolejny rok po roku budżetowym</t>
    </r>
  </si>
  <si>
    <t>1.3.1.7</t>
  </si>
  <si>
    <t>1.3.1.8</t>
  </si>
  <si>
    <t>1.3.1.9</t>
  </si>
  <si>
    <t>1.3.1.10</t>
  </si>
  <si>
    <t>Organizacja   ruchu na drogach gminnych ze szczególnym uwzględnieniem miejsc stwarzających zagrożenia oraz potrzeb mieszkańców wraz z uzupełnieniem koniecznego doświetlenia</t>
  </si>
  <si>
    <t>Modernizacja oświetlenia na terenie promenady nad j. Miedwie z zastosowaniem nowych technologii</t>
  </si>
  <si>
    <t xml:space="preserve"> -</t>
  </si>
  <si>
    <t>Ochrona wód jeziora Miedwie poprzez budowę sieci kanalizacyjnych i przebudowę oczyszczalni ścieków na obszarze aglomeracji Stargard Szczeciński 1.3 Oś Bielkowo</t>
  </si>
  <si>
    <t>Wykaz  przedsięwzięć  Gminy Kobylanka w latach 2014- 2023</t>
  </si>
  <si>
    <t>X</t>
  </si>
  <si>
    <t>Nazwy serii (rysunki)</t>
  </si>
  <si>
    <t>Wyszczególnienie</t>
  </si>
  <si>
    <t>x</t>
  </si>
  <si>
    <t>Dochody ogółem</t>
  </si>
  <si>
    <t xml:space="preserve"> Dochody bieżące</t>
  </si>
  <si>
    <t>Dochody bieżące</t>
  </si>
  <si>
    <t xml:space="preserve">  dochody z tytułu udziału we wpływach z podatku dochodowego od osób fizycznych</t>
  </si>
  <si>
    <t>dochody z tytułu udziału we wpływach z podatku dochodowego od osób fizycznych</t>
  </si>
  <si>
    <t xml:space="preserve">  dochody z tytułu udziału we wpływach z podatku dochodowego od osób prawnych</t>
  </si>
  <si>
    <t>dochody z tytułu udziału we wpływach z podatku dochodowego od osób prawnych</t>
  </si>
  <si>
    <t>1.1.3</t>
  </si>
  <si>
    <t xml:space="preserve">  podatki i opłaty</t>
  </si>
  <si>
    <t>podatki i opłaty</t>
  </si>
  <si>
    <t>1.1.3.1</t>
  </si>
  <si>
    <t xml:space="preserve">   z podatku od nieruchomości</t>
  </si>
  <si>
    <t>z podatku od nieruchomości</t>
  </si>
  <si>
    <t>1.1.4</t>
  </si>
  <si>
    <t xml:space="preserve">  z subwencji ogólnej</t>
  </si>
  <si>
    <t>z subwencji ogólnej</t>
  </si>
  <si>
    <t>1.1.5</t>
  </si>
  <si>
    <t xml:space="preserve">  z tytułu dotacji i środków przeznaczonych na cele bieżące</t>
  </si>
  <si>
    <t>z tytułu dotacji i środków przeznaczonych na cele bieżące</t>
  </si>
  <si>
    <t xml:space="preserve">  Dochody majątkowe</t>
  </si>
  <si>
    <t>Dochody majątkowe, w tym</t>
  </si>
  <si>
    <t xml:space="preserve">  ze sprzedaży majątku</t>
  </si>
  <si>
    <t>ze sprzedaży majątku</t>
  </si>
  <si>
    <t xml:space="preserve">  z tytułu dotacji oraz środków przeznaczonych na inwestycje</t>
  </si>
  <si>
    <t>z tytułu dotacji oraz środków przeznaczonych na inwestycje</t>
  </si>
  <si>
    <t>Wydatki ogółem</t>
  </si>
  <si>
    <t>2.1</t>
  </si>
  <si>
    <t xml:space="preserve"> Wydatki bieżące</t>
  </si>
  <si>
    <t>Wydatki bieżące, w tym:</t>
  </si>
  <si>
    <t>2.1.1</t>
  </si>
  <si>
    <t xml:space="preserve">  z tytułu poręczeń i gwarancji</t>
  </si>
  <si>
    <t>z tytułu poręczeń i gwarancji</t>
  </si>
  <si>
    <t>2.1.1.1</t>
  </si>
  <si>
    <t xml:space="preserve">   w tym: gwarancje i poręczenia podlegające wyłączeniu z limitu spłaty zobowiązań, o którym mowa w art. 243 ustawy</t>
  </si>
  <si>
    <t>w tym: gwarancje i poręczenia podlegające wyłączeniu z limitu spłaty zobowiązań, o którym mowa w art. 243 ustawy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</si>
  <si>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</si>
  <si>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</si>
  <si>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</si>
  <si>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</si>
  <si>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 xml:space="preserve">  wydatki na obsługę długu, w tym:</t>
  </si>
  <si>
    <t>wydatki na obsługę długu, w tym:</t>
  </si>
  <si>
    <t>2.1.3.1</t>
  </si>
  <si>
    <t xml:space="preserve">   odsetki i dyskonto określone w art. 243 ust. 1 ustawy, w tym:</t>
  </si>
  <si>
    <t>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</si>
  <si>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</si>
  <si>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</si>
  <si>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</si>
  <si>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</si>
  <si>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</si>
  <si>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odsetki i dyskonto podlegające wyłączeniu z limitu spłaty zobowiązań, o którym mowa w art. 243 ustawy, z tytułu zobowiązań  zaciągniętych na wkład krajowy</t>
  </si>
  <si>
    <t>2.2</t>
  </si>
  <si>
    <t xml:space="preserve"> Wydatki majątkowe</t>
  </si>
  <si>
    <t>Wydatki majątkowe</t>
  </si>
  <si>
    <t>Wynik budżetu</t>
  </si>
  <si>
    <t>Przychody budżetu</t>
  </si>
  <si>
    <t>4.1</t>
  </si>
  <si>
    <t xml:space="preserve"> Nadwyżka budżetowa z lat ubiegłych</t>
  </si>
  <si>
    <t>Nadwyżka budżetowa z lat ubiegłych</t>
  </si>
  <si>
    <t>4.1.1</t>
  </si>
  <si>
    <t xml:space="preserve">  w tym na pokrycie deficytu budżetu</t>
  </si>
  <si>
    <t>w tym na pokrycie deficytu budżetu</t>
  </si>
  <si>
    <t>4.2</t>
  </si>
  <si>
    <t xml:space="preserve"> Wolne środki, o których mowa w art. 217 ust.2 pkt 6 ustawy</t>
  </si>
  <si>
    <t>Wolne środki, o których mowa w art. 217 ust.2 pkt 6 ustawy</t>
  </si>
  <si>
    <t>4.2.1</t>
  </si>
  <si>
    <t xml:space="preserve">   w tym na pokrycie deficytu budżetu</t>
  </si>
  <si>
    <t>4.3</t>
  </si>
  <si>
    <t xml:space="preserve">  Kredyty, pożyczki, emisja papierów wartościowych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</si>
  <si>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</si>
  <si>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</si>
  <si>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</si>
  <si>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</si>
  <si>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</si>
  <si>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</si>
  <si>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</si>
  <si>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 xml:space="preserve"> Spłaty rat kapitałowych kredytów i pożyczek oraz wykup papierów wartościowych</t>
  </si>
  <si>
    <t>Spłaty rat kapitałowych kredytów i pożyczek oraz wykup papierów wartościowych</t>
  </si>
  <si>
    <t>5.1.1</t>
  </si>
  <si>
    <t xml:space="preserve">  w tym łączna kwota przypadających na dany rok kwot ustawowych wyłączeń z limitu spłaty zobowiązań, o którym mowa w art. 243 ustawy, z tego:</t>
  </si>
  <si>
    <t>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</si>
  <si>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</si>
  <si>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</si>
  <si>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</si>
  <si>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</si>
  <si>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</si>
  <si>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</si>
  <si>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</si>
  <si>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</si>
  <si>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</si>
  <si>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</si>
  <si>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</si>
  <si>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</si>
  <si>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</si>
  <si>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</si>
  <si>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8.1</t>
  </si>
  <si>
    <t xml:space="preserve"> Różnica między dochodami bieżącymi a  wydatkami bieżącymi</t>
  </si>
  <si>
    <t>Różnica między dochodami bieżącymi a  wydatkami bieżącymi</t>
  </si>
  <si>
    <t>8.2</t>
  </si>
  <si>
    <t xml:space="preserve"> Różnica między dochodami bieżącymi, skorygowanymi o środki a wydatkami bieżącymi, pomniejszonymi  o wydatki</t>
  </si>
  <si>
    <t>Różnica między dochodami bieżącymi, skorygowanymi o środki a wydatkami bieżącymi, pomniejszonymi  o wydatki</t>
  </si>
  <si>
    <t>Wskaźnik spłaty zobowiązań</t>
  </si>
  <si>
    <t>9.1</t>
  </si>
  <si>
    <t>(R+O) / D (bez wyłączeń)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</si>
  <si>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</si>
  <si>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</si>
  <si>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(R+O) / D (z wyłączeniami)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</si>
  <si>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</si>
  <si>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</si>
  <si>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 xml:space="preserve"> Kwota zobowiązań związku współtworzonego przez jednostkę samorządu terytorialnego przypadających do spłaty w danym roku budżetowym, podlegająca doliczeniu zgodnie z art. 244 ustawy</t>
  </si>
  <si>
    <t>Kwota zobowiązań związku współtworzonego przez jednostkę samorządu terytorialnego przypadających do spłaty w danym roku budżetowym, podlegająca doliczeniu zgodnie z art. 244 ustawy</t>
  </si>
  <si>
    <t>9.4</t>
  </si>
  <si>
    <t>(R+O) / D (z wyłączeniami i zobowiązaniami związków)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</si>
  <si>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</si>
  <si>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</si>
  <si>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 xml:space="preserve"> Wskaźnik dochodów bieżących powiększonych o dochody ze sprzedaży majątku oraz pomniejszonych o wydatki bieżące, do dochodów budżetu, ustalony dla danego roku (wskaźnik jednoroczny)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</si>
  <si>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</si>
  <si>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</si>
  <si>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z art. 243 ustawy, po uwzględnieniu ustawowych wyłączeń (planistyczny) 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</si>
  <si>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</si>
  <si>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</si>
  <si>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z art. 243 ustawy, po uwzględnieniu ustawowych wyłączeń (wykonanie)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</si>
  <si>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</si>
  <si>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</si>
  <si>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</si>
  <si>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</si>
  <si>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</si>
  <si>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</si>
  <si>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</si>
  <si>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</si>
  <si>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</si>
  <si>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 xml:space="preserve"> Spłaty kredytów, pożyczek i wykup papierów wartościowych</t>
  </si>
  <si>
    <t>Spłaty kredytów, pożyczek i wykup papierów wartościowych</t>
  </si>
  <si>
    <t>Informacje uzupełniające o wybranych rodzajach wydatków budżetowych</t>
  </si>
  <si>
    <t>11.1</t>
  </si>
  <si>
    <t xml:space="preserve"> Wydatki bieżące na wynagrodzenia i składki od nich naliczane</t>
  </si>
  <si>
    <t>Wydatki bieżące na wynagrodzenia i składki od nich naliczane</t>
  </si>
  <si>
    <t>11.2</t>
  </si>
  <si>
    <t xml:space="preserve"> Wydatki związane z funkcjonowaniem organów jednostki samorządu terytorialnego</t>
  </si>
  <si>
    <t>Wydatki związane z funkcjonowaniem organów jednostki samorządu terytorialnego</t>
  </si>
  <si>
    <t>11.3</t>
  </si>
  <si>
    <t xml:space="preserve"> Wydatki objęte limitem, o którym mowa w art. 226 ust. 3 pkt 4 ustawy</t>
  </si>
  <si>
    <t>Wydatki objęte limitem, o którym mowa w art. 226 ust. 3 pkt 4 ustawy</t>
  </si>
  <si>
    <t>11.3.1</t>
  </si>
  <si>
    <t xml:space="preserve">   Wydatki bieżące na przedsięwzięcia</t>
  </si>
  <si>
    <t>bieżące</t>
  </si>
  <si>
    <t>11.3.2</t>
  </si>
  <si>
    <t xml:space="preserve">   Wydatki majątkowe na przedsięwzięcia</t>
  </si>
  <si>
    <t>majątkowe</t>
  </si>
  <si>
    <t>11.4</t>
  </si>
  <si>
    <t xml:space="preserve"> Wydatki inwestycyjne kontynuowane </t>
  </si>
  <si>
    <t xml:space="preserve">Wydatki inwestycyjne kontynuowane </t>
  </si>
  <si>
    <t>11.5</t>
  </si>
  <si>
    <t xml:space="preserve"> Nowe wydatki inwestycyjne</t>
  </si>
  <si>
    <t>Nowe wydatki inwestycyjne</t>
  </si>
  <si>
    <t>11.6</t>
  </si>
  <si>
    <t xml:space="preserve"> Wydatki majątkowe w formie dotacji 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</si>
  <si>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</si>
  <si>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</si>
  <si>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</si>
  <si>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 xml:space="preserve"> Dochody bieżące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</si>
  <si>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</si>
  <si>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</si>
  <si>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</si>
  <si>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</si>
  <si>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</si>
  <si>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</si>
  <si>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>- w tym środki określone w art. 5 ust. 1 pkt 2 ustawy wynikające wyłącznie z  zawartych umów na realizację programu, projektu lub zadania</t>
  </si>
  <si>
    <t>12.2</t>
  </si>
  <si>
    <t xml:space="preserve"> Dochody majątkowe  na programy, projekty lub zadania finansowane z udziałem środków, o których mowa w art. 5 ust. 1 pkt 2 i 3 ustawy</t>
  </si>
  <si>
    <t>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</si>
  <si>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</si>
  <si>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</si>
  <si>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</si>
  <si>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</si>
  <si>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>- w tym środki określone w art. 5 ust. 1 pkt 2 ustawy wynikające wyłącznie z zawartych umów na realizację programu, projektu lub zadania</t>
  </si>
  <si>
    <t>12.3</t>
  </si>
  <si>
    <t xml:space="preserve"> Wydatki bieżące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</si>
  <si>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</si>
  <si>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</si>
  <si>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</si>
  <si>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 xml:space="preserve">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</si>
  <si>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</si>
  <si>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</si>
  <si>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</si>
  <si>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</si>
  <si>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 xml:space="preserve"> Wydatki majątkowe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</si>
  <si>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</si>
  <si>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</si>
  <si>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</si>
  <si>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</si>
  <si>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</si>
  <si>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</si>
  <si>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</si>
  <si>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</si>
  <si>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</si>
  <si>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</si>
  <si>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</si>
  <si>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</si>
  <si>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</si>
  <si>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</si>
  <si>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</si>
  <si>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</si>
  <si>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</si>
  <si>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</si>
  <si>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</si>
  <si>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</si>
  <si>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</si>
  <si>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</si>
  <si>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</si>
  <si>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</si>
  <si>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</si>
  <si>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</si>
  <si>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</si>
  <si>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 xml:space="preserve"> Kwota zobowiązań wynikających z przejęcia przez jednostkę samorządu terytorialnego zobowiązań po likwidowanych i przekształcanych samodzielnych zakładach opieki zdrowotnej</t>
  </si>
  <si>
    <t>Kwota zobowiązań wynikających z przejęcia przez jednostkę samorządu terytorialnego zobowiązań po likwidowanych i przekształcanych samodzielnych zakładach opieki zdrowotnej</t>
  </si>
  <si>
    <t>13.2</t>
  </si>
  <si>
    <t xml:space="preserve"> Dochody budżetowe z tytułu dotacji celowej z budżetu państwa, o której mowa w art. 196 ustawy z  dnia 15 kwietnia 2011 r.  o działalności leczniczej (Dz.U. Nr 112, poz. 654, z późn. zm.)</t>
  </si>
  <si>
    <t>Dochody budżetowe z tytułu dotacji celowej z budżetu państwa, o której mowa w art. 196 ustawy z  dnia 15 kwietnia 2011 r.  o działalności leczniczej (Dz.U. Nr 112, poz. 654, z późn. zm.)</t>
  </si>
  <si>
    <t>13.3</t>
  </si>
  <si>
    <t xml:space="preserve"> Wysokość zobowiązań podlegających umorzeniu, o którym mowa w art. 190 ustawy o działalności leczniczej</t>
  </si>
  <si>
    <t>Wysokość zobowiązań podlegających umorzeniu, o którym mowa w art. 190 ustawy o działalności leczniczej</t>
  </si>
  <si>
    <t>13.4</t>
  </si>
  <si>
    <t xml:space="preserve"> 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</si>
  <si>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przekształconego na zasadach określonych w przepisach  o działalności leczniczej</t>
  </si>
  <si>
    <t>13.5</t>
  </si>
  <si>
    <t xml:space="preserve"> Wydatki na spłatę przejętych zobowiązań samodzielnego publicznego zakładu opieki zdrowotnej likwidowanego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</si>
  <si>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</si>
  <si>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13.6</t>
  </si>
  <si>
    <t xml:space="preserve"> Wydatki na spłatę zobowiązań samodzielnego publicznego zakładu opieki zdrowotnej przejętych do końca 2011 r. na podstawie przepisów o zakładach opieki zdrowotnej</t>
  </si>
  <si>
    <t>Wydatki na spłatę zobowiązań samodzielnego publicznego zakładu opieki zdrowotnej przejętych do końca 2011 r. na podstawie przepisów o zakładach opieki zdrowotnej</t>
  </si>
  <si>
    <t>13.7</t>
  </si>
  <si>
    <t xml:space="preserve"> Wydatki bieżące na pokrycie ujemnego wyniku finansowego samodzielnego publicznego zakładu opieki zdrowotnej</t>
  </si>
  <si>
    <t>Wydatki bieżące na pokrycie ujemnego wyniku finansowego samodzielnego publicznego zakładu opieki zdrowotnej</t>
  </si>
  <si>
    <t>Dane uzupełniające o długu i jego spłacie</t>
  </si>
  <si>
    <t>14.1</t>
  </si>
  <si>
    <t xml:space="preserve"> Spłaty rat kapitałowych oraz wykup papierów wartościowych, o których mowa w pkt. 5.1., wynikające wyłącznie z tytułu zobowiązań już zaciągniętych</t>
  </si>
  <si>
    <t>Spłaty rat kapitałowych oraz wykup papierów wartościowych, o których mowa w pkt. 5.1., wynikające wyłącznie z tytułu zobowiązań już zaciągniętych</t>
  </si>
  <si>
    <t>14.2</t>
  </si>
  <si>
    <t xml:space="preserve"> Kwota długu, którego planowana spłata dokona się z wydatków budżetu</t>
  </si>
  <si>
    <t>Kwota długu, którego planowana spłata dokona się z wydatków budżetu</t>
  </si>
  <si>
    <t>14.3</t>
  </si>
  <si>
    <t xml:space="preserve"> Wydatki zmniejszające dług, w tym</t>
  </si>
  <si>
    <t>Wydatki zmniejszające dług, w tym</t>
  </si>
  <si>
    <t>14.3.1</t>
  </si>
  <si>
    <t xml:space="preserve">  spłata zobowiązań wymagalnych z lat poprzednich, innych niż w pkt 14.3.3</t>
  </si>
  <si>
    <t>spłata zobowiązań wymagalnych z lat poprzednich, innych niż w pkt 14.3.3</t>
  </si>
  <si>
    <t>14.3.2</t>
  </si>
  <si>
    <t xml:space="preserve">  związane z umowami zaliczanymi do tytułów dłużnych wliczanych do państwowego długu publicznego</t>
  </si>
  <si>
    <t>związane z umowami zaliczanymi do tytułów dłużnych wliczanych do państwowego długu publicznego</t>
  </si>
  <si>
    <t>14.3.3</t>
  </si>
  <si>
    <t xml:space="preserve">  wypłaty z tytułu wymagalnych poręczeń i gwarancji</t>
  </si>
  <si>
    <t>wypłaty z tytułu wymagalnych poręczeń i gwarancji</t>
  </si>
  <si>
    <t>14.4</t>
  </si>
  <si>
    <t xml:space="preserve"> Wynik operacji niekasowych wpływających na kwotę długu ( m.in. umorzenia, różnice kursowe)</t>
  </si>
  <si>
    <t>Wynik operacji niekasowych wpływających na kwotę długu ( m.in. umorzenia, różnice kursowe)</t>
  </si>
  <si>
    <t>Dane dotyczące emitowanych obligacji przychodowych</t>
  </si>
  <si>
    <t>15.1</t>
  </si>
  <si>
    <t xml:space="preserve"> Środki z przedsięwzięcia gromadzone na rachunku bankowym,  w tym:</t>
  </si>
  <si>
    <t>Środki z przedsięwzięcia gromadzone na rachunku bankowym,  w tym:</t>
  </si>
  <si>
    <t>15.1.1</t>
  </si>
  <si>
    <t xml:space="preserve">  środki na zaspokojenie roszczeń obligatariuszy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</si>
  <si>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</si>
  <si>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</si>
  <si>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</si>
  <si>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t>UWAGA!</t>
  </si>
  <si>
    <t>Do symulacji prognozy i obserwacji zmian wskaźników z art. 243, 169 i 170 na podstawie danych wprowadzanych ręcznie służy arkusz "WPF_AnalizaWsk_Projektowanie"</t>
  </si>
  <si>
    <t>Weryfikacja danych wykazanych w tabeli Wieloletnia Prognoza Finansowa</t>
  </si>
  <si>
    <t>Reguła formalna</t>
  </si>
  <si>
    <t>Reguła rachunkowa</t>
  </si>
  <si>
    <t>Reguła logiczna</t>
  </si>
  <si>
    <t>Reguły kontrolne</t>
  </si>
  <si>
    <t>[1.1] + [4.1] + [4.2] &gt;= ([2.1] - [2.1.2])</t>
  </si>
  <si>
    <t>Spełnienie wskaźnika z art. 242</t>
  </si>
  <si>
    <t>[13.3] = 0 (dla lat 2014 i wyższych)</t>
  </si>
  <si>
    <t>Umorzenie zobowiązań, o którym mowa w art. 190 ustawy o działalności leczniczej nie wykracza poza ustawowy okres</t>
  </si>
  <si>
    <t>[1] + [4] - [2] - [5] = 0</t>
  </si>
  <si>
    <t>Kontrola poprawności zbilansowania budżetu</t>
  </si>
  <si>
    <t>[6]"n" = [6]"n-1" + [4.3]"n" - [5.1]"n" +  ([14.2]"n"-[14.2]"n-1") + [14.4]</t>
  </si>
  <si>
    <t>Kontrola poprawności wyliczenia kwoty długu</t>
  </si>
  <si>
    <t xml:space="preserve">[14.2] "n" =  ( [14.2]  "n-1" -  [14.3] "n" ) 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</si>
  <si>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</si>
  <si>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[13.1] "n"  -  ( [13.3] + [13.4] + [13.5] + [13.6] ) "n"  =  [13.1] "n-1"</t>
  </si>
  <si>
    <t>Porównanie na koniec roku prognozy stanu zobowiązań przejętych przez jst po likwidowanych i przekształcanych SP ZOZ z wydatkami i umorzeniami poniesionymi na ten cel ze stanem zobowiązań z okresu N-1</t>
  </si>
  <si>
    <t>jeśli [3] &lt; 0 to sprawdź czy [4.1.1] + [4.2.1] + [4.3.1] + [4.4.1] + [3] = 0</t>
  </si>
  <si>
    <t>Kontrola poprawności wykazania źródeł pokrycia deficytu</t>
  </si>
  <si>
    <t>jeśli [3] &gt;= 0 to sprawdź czy [4.1.1]=0 i [4.2.1]=0 i [4.3.1]=0 i  [4.4.1] = 0</t>
  </si>
  <si>
    <t>Kontrola poprawności niewykazania źródeł pokrycia deficytu przy nadwyżce budżetu</t>
  </si>
  <si>
    <t>[1.1.3] &gt;=  [1.1.3.1]</t>
  </si>
  <si>
    <t>Reguła logiczna:  [1.1.3] &gt;=  [1.1.3.1]</t>
  </si>
  <si>
    <t>[1.1.5] &gt;= [13.2]</t>
  </si>
  <si>
    <t>Reguła logiczna:  [1.1.5] &gt;= [13.2]</t>
  </si>
  <si>
    <t>[1.1] &gt;=  ([1.1.1] + [1.1.2] + [1.1.3] + [1.1.4] + [1.1.5])</t>
  </si>
  <si>
    <t>Reguła logiczna:  [1.1] &gt;=  ([1.1.1] + [1.1.2] + [1.1.3] + [1.1.4] + [1.1.5])</t>
  </si>
  <si>
    <t>[1.1] &gt;= [12.1]</t>
  </si>
  <si>
    <t>Reguła logiczna:  [1.1] &gt;= [12.1]</t>
  </si>
  <si>
    <t>[1.2] &gt;= [1.2.1]</t>
  </si>
  <si>
    <t>Reguła logiczna:  [1.2] &gt;= [1.2.1]</t>
  </si>
  <si>
    <t>[1.2] &gt;= [1.2.2]</t>
  </si>
  <si>
    <t>Reguła logiczna:  [1.2] &gt;= [1.2.2]</t>
  </si>
  <si>
    <t>[1.2] &gt;= [12.2]</t>
  </si>
  <si>
    <t>Reguła logiczna:  [1.2] &gt;= [12.2]</t>
  </si>
  <si>
    <t>Reguła logiczna: jeżeli [3] &gt;0 to [10] = [3]</t>
  </si>
  <si>
    <t>[10] &gt;= [10.1]</t>
  </si>
  <si>
    <t>Reguła logiczna:  [10] &gt;= [10.1]</t>
  </si>
  <si>
    <t>jeśli [10] &gt; 0 to powinno być [10.1] &gt; 0</t>
  </si>
  <si>
    <t>Reguła logiczna:  jeżeli [10] &gt; 0 to [10.1] &gt;0</t>
  </si>
  <si>
    <t>[12.1] &gt;= [12.1.1]</t>
  </si>
  <si>
    <t>Reguła logiczna:  [12.1] &gt;= [12.1.1]</t>
  </si>
  <si>
    <t>[12.1.1] &gt;= [12.1.1.1]</t>
  </si>
  <si>
    <t>Reguła logiczna:  [12.1.1] &gt;= [12.1.1.1]</t>
  </si>
  <si>
    <t>[12.2] &gt;= [12.2.1]</t>
  </si>
  <si>
    <t>Reguła logiczna:  [12.2] &gt;= [12.2.1]</t>
  </si>
  <si>
    <t>[12.2.1] &gt;= [12.2.1.1]</t>
  </si>
  <si>
    <t>Reguła logiczna:  [12.2.1] &gt;= [12.2.1.1]</t>
  </si>
  <si>
    <t>[12.3] &gt;= [12.3.1]</t>
  </si>
  <si>
    <t>Reguła logiczna:  [12.3] &gt;= [12.3.1]</t>
  </si>
  <si>
    <t>[12.3] &gt;= [12.3.2]</t>
  </si>
  <si>
    <t>Reguła logiczna:  [12.3] &gt;= [12.3.2]</t>
  </si>
  <si>
    <t>[12.4] &gt;= [12.4.1]</t>
  </si>
  <si>
    <t>Reguła logiczna:  [12.4] &gt;= [12.4.1]</t>
  </si>
  <si>
    <t>[12.4] &gt;= [12.4.2]</t>
  </si>
  <si>
    <t>Reguła logiczna:  [12.4] &gt;= [12.4.2]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</si>
  <si>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</si>
  <si>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</si>
  <si>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</si>
  <si>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</si>
  <si>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>[13.1] &gt;= [13.3]</t>
  </si>
  <si>
    <t>Reguła logiczna:  [13.1] &gt;= [13.3]</t>
  </si>
  <si>
    <t>[13.4] &gt;= [2.1.2]</t>
  </si>
  <si>
    <t>Reguła logiczna:  [13.4] &gt;= [2.1.2]</t>
  </si>
  <si>
    <t>[14.3] &gt;= [14.3.1] + [14.3.2] + [14.3.3]</t>
  </si>
  <si>
    <t>Reguła logiczna:  [14.3] &gt;= [14.3.1] + [14.3.2] + [14.3.3]</t>
  </si>
  <si>
    <t>Reguła logiczna:  [15.1] &gt;= [15.1.1]</t>
  </si>
  <si>
    <t>[2.1.1] &gt;= [2.1.1.1]</t>
  </si>
  <si>
    <t>Reguła logiczna:  [2.1.1] &gt;= [2.1.1.1]</t>
  </si>
  <si>
    <t>[2.1.1] &gt;= [14.3.3]</t>
  </si>
  <si>
    <t>Reguła logiczna:  [2.1.1] &gt;= [14.3.3]</t>
  </si>
  <si>
    <t xml:space="preserve">[2.1.3] &gt;= [2.1.3.1] </t>
  </si>
  <si>
    <t xml:space="preserve">Reguła logiczna:  [2.1.3] &gt;= [2.1.3.1] </t>
  </si>
  <si>
    <t xml:space="preserve">Reguła logiczna:  [2.1.3.1] &gt;= [2.1.3.1.1]+[2.1.3.1.2] </t>
  </si>
  <si>
    <t>[2.1] &gt;= ([2.1.1] + [2.1.2] + [2.1.3])</t>
  </si>
  <si>
    <t>Reguła logiczna:  [2.1] &gt;= ([2.1.1] + [2.1.2] + [2.1.3])</t>
  </si>
  <si>
    <t>[2.1] &gt;= [11.1]</t>
  </si>
  <si>
    <t>Reguła logiczna:  [2.1] &gt;= [11.1]</t>
  </si>
  <si>
    <t>[2.1] &gt;= [11.3.1]</t>
  </si>
  <si>
    <t>Reguła logiczna:  [2.1] &gt;= [11.3.1]</t>
  </si>
  <si>
    <t>[2.1] &gt;= [12.3]</t>
  </si>
  <si>
    <t>Reguła logiczna:  [2.1] &gt;= [12.3]</t>
  </si>
  <si>
    <t>[2.1] &gt;= [13.7]</t>
  </si>
  <si>
    <t>Reguła logiczna:  [2.1] &gt;= [13.7]</t>
  </si>
  <si>
    <t>[2.2] &gt;= [11.3.2]</t>
  </si>
  <si>
    <t>Reguła logiczna:  [2.2] &gt;= [11.3.2]</t>
  </si>
  <si>
    <t>[2.2] &gt;= [11.4] + [11.5]</t>
  </si>
  <si>
    <t>Reguła logiczna:  [2.2] &gt;= [11.4] + [11.5]</t>
  </si>
  <si>
    <t>[2.2] &gt;= [11.6]</t>
  </si>
  <si>
    <t>Reguła logiczna:  [2.2] &gt;= [11.6]</t>
  </si>
  <si>
    <t>[2.2] &gt;= [12.4]</t>
  </si>
  <si>
    <t>Reguła logiczna:  [2.2] &gt;= [12.4]</t>
  </si>
  <si>
    <t>[4.1] &gt;= [4.1.1]</t>
  </si>
  <si>
    <t>Reguła logiczna:  [4.1] &gt;= [4.1.1]</t>
  </si>
  <si>
    <t>[4.2] &gt;= [4.2.1]</t>
  </si>
  <si>
    <t>Reguła logiczna:  [4.2] &gt;= [4.2.1]</t>
  </si>
  <si>
    <t>[4.3] &gt;= [4.3.1]</t>
  </si>
  <si>
    <t>Reguła logiczna:  [4.3] &gt;= [4.3.1]</t>
  </si>
  <si>
    <t>[4.4] &gt;= [4.4.1]</t>
  </si>
  <si>
    <t>Reguła logiczna:  [4.4] &gt;= [4.4.1]</t>
  </si>
  <si>
    <t>[5.1] &gt;= [5.1.1]</t>
  </si>
  <si>
    <t>Reguła logiczna:  [5.1] &gt;= [5.1.1]</t>
  </si>
  <si>
    <t>[5.1] &gt;= [10.1]</t>
  </si>
  <si>
    <t>Reguła logiczna:  [5.1] &gt;= [10.1]</t>
  </si>
  <si>
    <t>[5.1] &gt;= [14.1]</t>
  </si>
  <si>
    <t>Reguła logiczna:  [5.1] &gt;= [14.1]</t>
  </si>
  <si>
    <t>[6] &gt;=[7]</t>
  </si>
  <si>
    <t>Reguła logiczna:  [6] &gt;=[7]</t>
  </si>
  <si>
    <t>[6] &gt;= [14.2]</t>
  </si>
  <si>
    <t>Reguła logiczna:  [6] &gt;= [14.2]</t>
  </si>
  <si>
    <t>7&gt;=13.1</t>
  </si>
  <si>
    <t>Reguła logiczna:  7&gt;=13.1</t>
  </si>
  <si>
    <t xml:space="preserve">jeżeli [2.1.3] &lt;&gt; 0 to  [2.1.3.1] &lt;&gt; 0 </t>
  </si>
  <si>
    <t xml:space="preserve">Reguła logiczna:  jeżeli [2.1.3] &lt;&gt; 0 to  [2.1.3.1] &lt;&gt; 0 </t>
  </si>
  <si>
    <t>Kontrola poprawności podstawowych kwot</t>
  </si>
  <si>
    <t>Dochody ogółem = bieżące + majątkowe</t>
  </si>
  <si>
    <t>Wydatki ogółem = bieżące + majątkowe</t>
  </si>
  <si>
    <t>Wynik budżetu = dochody ogółem - wydatki ogółem</t>
  </si>
  <si>
    <t>Wyliczenie kwoty długu</t>
  </si>
  <si>
    <t>Wyliczenie zobowiązań wynikających z przejęcia przez jst zobowiązań po likwidowanych i przekształcanych SZOZ</t>
  </si>
  <si>
    <t>Analiza ryzyka niespełnienia wskaźnika z art. 243</t>
  </si>
  <si>
    <t>Analiza składowych wzoru wskaźnika z art. 243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</si>
  <si>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</si>
  <si>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</si>
  <si>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</si>
  <si>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</si>
  <si>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DYNAMIKA podstawowych wielkości z prognozy</t>
  </si>
  <si>
    <t>[N-1]pl3kw / [N-2]</t>
  </si>
  <si>
    <t>[N-1]wyk 
/ [N-1]pl3kw</t>
  </si>
  <si>
    <t>-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</si>
  <si>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</si>
  <si>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</si>
  <si>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</si>
  <si>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</si>
  <si>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dochody ze sprzedaży majątku</t>
  </si>
  <si>
    <t>wydatki ogółem bez wydatków na projekty finansowane i współfinansowane środkami UE</t>
  </si>
  <si>
    <t>wydatki bieżące ogółem</t>
  </si>
  <si>
    <t>wydatki bieżące ogółem bez wydatków na projekty współfinansowane środkami UE</t>
  </si>
  <si>
    <t>wydatki bieżące na wynagrodzenia i składki od nich naliczane</t>
  </si>
  <si>
    <t>pozostałe wydatki bieżące (wydatki bieżące bez wynagrodzeń i pochodnych oraz wydatków związanych z funkcjonowaniem organów jst, wydatków na obsługę długu  oraz poręczeń i gwarancji)</t>
  </si>
  <si>
    <t>WIELKOŚĆ ZMIAN w podstawowych kwotach prognozy</t>
  </si>
  <si>
    <t>[N-1]pl3kw 
- [N-2]</t>
  </si>
  <si>
    <t>[N-1]wyk 
- [N-1]pl3kw</t>
  </si>
  <si>
    <t>PODSTAWOWE wielkości ujęte w prognozie</t>
  </si>
  <si>
    <t>1.3.2.18</t>
  </si>
  <si>
    <t>Wykonanie podłączeń do sieci kanalizacyjnej budynków w miejscowościach: Bielkowo, Kunowo, Kobylanka, Morzyczyn i Reptowo</t>
  </si>
  <si>
    <t>WIELOLETNIA PROGNOZA FINANSOWA GMINY KOBYLANKA na lata 2014-2023</t>
  </si>
  <si>
    <t xml:space="preserve">Załącznik nr 3 do  projektu Nr    uchwały Nr 294/14  Rady Gminy Kobylanka z dnia 26 czerwca  2014r.       </t>
  </si>
  <si>
    <t>Załącznik nr 1 do projektu Nr    294/14   uchwały Nr Rady Gminy Kobylanka z dnia 26 czerwca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</si>
</sst>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_ ;[Red]\-#,##0.00\ "/>
    <numFmt numFmtId="166" formatCode="0.00%;[Red]\-0.00%"/>
    <numFmt numFmtId="167" formatCode="0.0%"/>
  </numFmts>
  <fonts count="9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i/>
      <u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Arial CE"/>
      <family val="2"/>
      <charset val="238"/>
    </font>
    <font>
      <i/>
      <sz val="8"/>
      <name val="Century Gothic"/>
      <family val="2"/>
      <charset val="238"/>
    </font>
    <font>
      <i/>
      <sz val="8"/>
      <name val="Arial CE"/>
      <charset val="238"/>
    </font>
    <font>
      <b/>
      <i/>
      <sz val="9"/>
      <name val="Century Gothic"/>
      <family val="2"/>
      <charset val="238"/>
    </font>
    <font>
      <sz val="11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entury Gothic"/>
      <family val="2"/>
      <charset val="238"/>
    </font>
    <font>
      <b/>
      <sz val="9"/>
      <name val="Calibri"/>
      <family val="2"/>
      <charset val="238"/>
    </font>
    <font>
      <sz val="9"/>
      <name val="Century Gothic"/>
      <family val="2"/>
      <charset val="238"/>
    </font>
    <font>
      <b/>
      <i/>
      <sz val="8"/>
      <name val="Century Gothic"/>
      <family val="2"/>
      <charset val="238"/>
    </font>
    <font>
      <b/>
      <i/>
      <sz val="11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color indexed="8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Czcionka tekstu podstawowego"/>
      <charset val="238"/>
    </font>
    <font>
      <i/>
      <sz val="9"/>
      <color indexed="8"/>
      <name val="Czcionka tekstu podstawowego"/>
      <charset val="238"/>
    </font>
    <font>
      <b/>
      <i/>
      <sz val="9"/>
      <color rgb="FFFF0000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0" fontId="6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7" fillId="10" borderId="0" applyNumberFormat="0" applyBorder="0" applyAlignment="0" applyProtection="0"/>
    <xf numFmtId="0" fontId="10" fillId="35" borderId="0" applyNumberFormat="0" applyBorder="0" applyAlignment="0" applyProtection="0"/>
    <xf numFmtId="0" fontId="7" fillId="14" borderId="0" applyNumberFormat="0" applyBorder="0" applyAlignment="0" applyProtection="0"/>
    <xf numFmtId="0" fontId="10" fillId="36" borderId="0" applyNumberFormat="0" applyBorder="0" applyAlignment="0" applyProtection="0"/>
    <xf numFmtId="0" fontId="7" fillId="18" borderId="0" applyNumberFormat="0" applyBorder="0" applyAlignment="0" applyProtection="0"/>
    <xf numFmtId="0" fontId="10" fillId="37" borderId="0" applyNumberFormat="0" applyBorder="0" applyAlignment="0" applyProtection="0"/>
    <xf numFmtId="0" fontId="7" fillId="22" borderId="0" applyNumberFormat="0" applyBorder="0" applyAlignment="0" applyProtection="0"/>
    <xf numFmtId="0" fontId="10" fillId="38" borderId="0" applyNumberFormat="0" applyBorder="0" applyAlignment="0" applyProtection="0"/>
    <xf numFmtId="0" fontId="7" fillId="26" borderId="0" applyNumberFormat="0" applyBorder="0" applyAlignment="0" applyProtection="0"/>
    <xf numFmtId="0" fontId="10" fillId="39" borderId="0" applyNumberFormat="0" applyBorder="0" applyAlignment="0" applyProtection="0"/>
    <xf numFmtId="0" fontId="7" fillId="30" borderId="0" applyNumberFormat="0" applyBorder="0" applyAlignment="0" applyProtection="0"/>
    <xf numFmtId="0" fontId="10" fillId="40" borderId="0" applyNumberFormat="0" applyBorder="0" applyAlignment="0" applyProtection="0"/>
    <xf numFmtId="0" fontId="7" fillId="11" borderId="0" applyNumberFormat="0" applyBorder="0" applyAlignment="0" applyProtection="0"/>
    <xf numFmtId="0" fontId="10" fillId="41" borderId="0" applyNumberFormat="0" applyBorder="0" applyAlignment="0" applyProtection="0"/>
    <xf numFmtId="0" fontId="7" fillId="15" borderId="0" applyNumberFormat="0" applyBorder="0" applyAlignment="0" applyProtection="0"/>
    <xf numFmtId="0" fontId="10" fillId="42" borderId="0" applyNumberFormat="0" applyBorder="0" applyAlignment="0" applyProtection="0"/>
    <xf numFmtId="0" fontId="7" fillId="19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10" fillId="40" borderId="0" applyNumberFormat="0" applyBorder="0" applyAlignment="0" applyProtection="0"/>
    <xf numFmtId="0" fontId="7" fillId="27" borderId="0" applyNumberFormat="0" applyBorder="0" applyAlignment="0" applyProtection="0"/>
    <xf numFmtId="0" fontId="10" fillId="43" borderId="0" applyNumberFormat="0" applyBorder="0" applyAlignment="0" applyProtection="0"/>
    <xf numFmtId="0" fontId="7" fillId="31" borderId="0" applyNumberFormat="0" applyBorder="0" applyAlignment="0" applyProtection="0"/>
    <xf numFmtId="0" fontId="12" fillId="44" borderId="0" applyNumberFormat="0" applyBorder="0" applyAlignment="0" applyProtection="0"/>
    <xf numFmtId="0" fontId="13" fillId="12" borderId="0" applyNumberFormat="0" applyBorder="0" applyAlignment="0" applyProtection="0"/>
    <xf numFmtId="0" fontId="12" fillId="41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3" fillId="20" borderId="0" applyNumberFormat="0" applyBorder="0" applyAlignment="0" applyProtection="0"/>
    <xf numFmtId="0" fontId="12" fillId="45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3" fillId="17" borderId="0" applyNumberFormat="0" applyBorder="0" applyAlignment="0" applyProtection="0"/>
    <xf numFmtId="0" fontId="12" fillId="45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3" fillId="25" borderId="0" applyNumberFormat="0" applyBorder="0" applyAlignment="0" applyProtection="0"/>
    <xf numFmtId="0" fontId="12" fillId="51" borderId="0" applyNumberFormat="0" applyBorder="0" applyAlignment="0" applyProtection="0"/>
    <xf numFmtId="0" fontId="13" fillId="29" borderId="0" applyNumberFormat="0" applyBorder="0" applyAlignment="0" applyProtection="0"/>
    <xf numFmtId="0" fontId="14" fillId="39" borderId="12" applyNumberFormat="0" applyAlignment="0" applyProtection="0"/>
    <xf numFmtId="0" fontId="15" fillId="5" borderId="4" applyNumberFormat="0" applyAlignment="0" applyProtection="0"/>
    <xf numFmtId="0" fontId="16" fillId="52" borderId="13" applyNumberFormat="0" applyAlignment="0" applyProtection="0"/>
    <xf numFmtId="0" fontId="17" fillId="6" borderId="5" applyNumberFormat="0" applyAlignment="0" applyProtection="0"/>
    <xf numFmtId="0" fontId="18" fillId="36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6" applyNumberFormat="0" applyFill="0" applyAlignment="0" applyProtection="0"/>
    <xf numFmtId="0" fontId="22" fillId="53" borderId="15" applyNumberFormat="0" applyAlignment="0" applyProtection="0"/>
    <xf numFmtId="0" fontId="23" fillId="7" borderId="7" applyNumberFormat="0" applyAlignment="0" applyProtection="0"/>
    <xf numFmtId="0" fontId="24" fillId="0" borderId="16" applyNumberFormat="0" applyFill="0" applyAlignment="0" applyProtection="0"/>
    <xf numFmtId="0" fontId="25" fillId="0" borderId="1" applyNumberFormat="0" applyFill="0" applyAlignment="0" applyProtection="0"/>
    <xf numFmtId="0" fontId="26" fillId="0" borderId="17" applyNumberFormat="0" applyFill="0" applyAlignment="0" applyProtection="0"/>
    <xf numFmtId="0" fontId="27" fillId="0" borderId="2" applyNumberFormat="0" applyFill="0" applyAlignment="0" applyProtection="0"/>
    <xf numFmtId="0" fontId="28" fillId="0" borderId="18" applyNumberFormat="0" applyFill="0" applyAlignment="0" applyProtection="0"/>
    <xf numFmtId="0" fontId="29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31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3" fillId="0" borderId="0"/>
    <xf numFmtId="0" fontId="33" fillId="0" borderId="0"/>
    <xf numFmtId="0" fontId="32" fillId="0" borderId="0" applyProtection="0"/>
    <xf numFmtId="0" fontId="10" fillId="0" borderId="0"/>
    <xf numFmtId="0" fontId="33" fillId="0" borderId="0"/>
    <xf numFmtId="0" fontId="33" fillId="0" borderId="0"/>
    <xf numFmtId="0" fontId="34" fillId="52" borderId="12" applyNumberFormat="0" applyAlignment="0" applyProtection="0"/>
    <xf numFmtId="0" fontId="35" fillId="6" borderId="4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1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55" borderId="20" applyNumberFormat="0" applyFont="0" applyAlignment="0" applyProtection="0"/>
    <xf numFmtId="0" fontId="7" fillId="8" borderId="8" applyNumberFormat="0" applyFont="0" applyAlignment="0" applyProtection="0"/>
    <xf numFmtId="0" fontId="43" fillId="35" borderId="0" applyNumberFormat="0" applyBorder="0" applyAlignment="0" applyProtection="0"/>
    <xf numFmtId="0" fontId="44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8">
    <xf numFmtId="0" fontId="0" fillId="0" borderId="0" xfId="0"/>
    <xf numFmtId="0" fontId="6" fillId="0" borderId="0" xfId="104"/>
    <xf numFmtId="0" fontId="7" fillId="0" borderId="0" xfId="104" applyFont="1" applyAlignment="1">
      <alignment vertical="center"/>
    </xf>
    <xf numFmtId="0" fontId="47" fillId="0" borderId="0" xfId="104" applyFont="1" applyBorder="1" applyAlignment="1">
      <alignment horizontal="center" vertical="center" wrapText="1"/>
    </xf>
    <xf numFmtId="0" fontId="47" fillId="0" borderId="0" xfId="104" applyFont="1" applyAlignment="1">
      <alignment horizontal="center" vertical="center" wrapText="1"/>
    </xf>
    <xf numFmtId="0" fontId="48" fillId="0" borderId="0" xfId="104" applyFont="1" applyAlignment="1">
      <alignment horizontal="right"/>
    </xf>
    <xf numFmtId="0" fontId="6" fillId="0" borderId="0" xfId="104" applyAlignment="1">
      <alignment vertical="center"/>
    </xf>
    <xf numFmtId="0" fontId="50" fillId="0" borderId="0" xfId="104" applyFont="1" applyAlignment="1">
      <alignment vertical="center"/>
    </xf>
    <xf numFmtId="0" fontId="51" fillId="0" borderId="33" xfId="104" applyFont="1" applyBorder="1" applyAlignment="1">
      <alignment horizontal="center" vertical="center"/>
    </xf>
    <xf numFmtId="0" fontId="51" fillId="0" borderId="23" xfId="104" applyFont="1" applyBorder="1" applyAlignment="1">
      <alignment horizontal="center" vertical="center"/>
    </xf>
    <xf numFmtId="0" fontId="51" fillId="0" borderId="34" xfId="104" applyFont="1" applyBorder="1" applyAlignment="1">
      <alignment horizontal="center" vertical="center"/>
    </xf>
    <xf numFmtId="0" fontId="52" fillId="0" borderId="0" xfId="104" applyFont="1" applyAlignment="1">
      <alignment vertical="center"/>
    </xf>
    <xf numFmtId="0" fontId="47" fillId="0" borderId="35" xfId="104" applyFont="1" applyFill="1" applyBorder="1" applyAlignment="1">
      <alignment vertical="top"/>
    </xf>
    <xf numFmtId="164" fontId="49" fillId="0" borderId="31" xfId="105" applyNumberFormat="1" applyFont="1" applyFill="1" applyBorder="1" applyAlignment="1">
      <alignment vertical="center"/>
    </xf>
    <xf numFmtId="164" fontId="49" fillId="0" borderId="36" xfId="105" applyNumberFormat="1" applyFont="1" applyFill="1" applyBorder="1" applyAlignment="1">
      <alignment vertical="center"/>
    </xf>
    <xf numFmtId="0" fontId="6" fillId="0" borderId="0" xfId="104" applyFill="1" applyAlignment="1">
      <alignment vertical="center"/>
    </xf>
    <xf numFmtId="0" fontId="47" fillId="0" borderId="37" xfId="104" applyFont="1" applyFill="1" applyBorder="1" applyAlignment="1">
      <alignment vertical="top"/>
    </xf>
    <xf numFmtId="164" fontId="49" fillId="0" borderId="30" xfId="105" applyNumberFormat="1" applyFont="1" applyFill="1" applyBorder="1" applyAlignment="1">
      <alignment vertical="center"/>
    </xf>
    <xf numFmtId="164" fontId="49" fillId="0" borderId="38" xfId="105" applyNumberFormat="1" applyFont="1" applyFill="1" applyBorder="1" applyAlignment="1">
      <alignment vertical="center"/>
    </xf>
    <xf numFmtId="0" fontId="11" fillId="0" borderId="51" xfId="104" applyFont="1" applyFill="1" applyBorder="1" applyAlignment="1">
      <alignment vertical="top" wrapText="1"/>
    </xf>
    <xf numFmtId="0" fontId="11" fillId="0" borderId="23" xfId="104" applyFont="1" applyFill="1" applyBorder="1" applyAlignment="1">
      <alignment horizontal="center" vertical="center" wrapText="1"/>
    </xf>
    <xf numFmtId="0" fontId="11" fillId="0" borderId="23" xfId="104" applyFont="1" applyFill="1" applyBorder="1" applyAlignment="1">
      <alignment horizontal="center" vertical="center"/>
    </xf>
    <xf numFmtId="164" fontId="55" fillId="0" borderId="22" xfId="105" applyNumberFormat="1" applyFont="1" applyFill="1" applyBorder="1" applyAlignment="1">
      <alignment horizontal="center" vertical="center"/>
    </xf>
    <xf numFmtId="164" fontId="56" fillId="0" borderId="22" xfId="105" applyNumberFormat="1" applyFont="1" applyFill="1" applyBorder="1" applyAlignment="1">
      <alignment vertical="center"/>
    </xf>
    <xf numFmtId="164" fontId="57" fillId="0" borderId="22" xfId="105" applyNumberFormat="1" applyFont="1" applyFill="1" applyBorder="1" applyAlignment="1">
      <alignment horizontal="center" vertical="center"/>
    </xf>
    <xf numFmtId="164" fontId="49" fillId="0" borderId="22" xfId="105" applyNumberFormat="1" applyFont="1" applyFill="1" applyBorder="1" applyAlignment="1">
      <alignment horizontal="center" vertical="center"/>
    </xf>
    <xf numFmtId="164" fontId="56" fillId="0" borderId="38" xfId="105" applyNumberFormat="1" applyFont="1" applyFill="1" applyBorder="1" applyAlignment="1">
      <alignment horizontal="center" vertical="center"/>
    </xf>
    <xf numFmtId="0" fontId="47" fillId="0" borderId="35" xfId="104" applyFont="1" applyFill="1" applyBorder="1" applyAlignment="1">
      <alignment horizontal="center" vertical="top"/>
    </xf>
    <xf numFmtId="0" fontId="11" fillId="0" borderId="52" xfId="104" applyFont="1" applyFill="1" applyBorder="1" applyAlignment="1">
      <alignment vertical="top" wrapText="1"/>
    </xf>
    <xf numFmtId="0" fontId="11" fillId="0" borderId="29" xfId="104" applyFont="1" applyFill="1" applyBorder="1" applyAlignment="1">
      <alignment horizontal="center" vertical="center" wrapText="1"/>
    </xf>
    <xf numFmtId="0" fontId="11" fillId="0" borderId="29" xfId="104" applyFont="1" applyFill="1" applyBorder="1" applyAlignment="1">
      <alignment horizontal="center" vertical="center"/>
    </xf>
    <xf numFmtId="164" fontId="55" fillId="0" borderId="31" xfId="105" applyNumberFormat="1" applyFont="1" applyFill="1" applyBorder="1" applyAlignment="1">
      <alignment horizontal="center" vertical="center"/>
    </xf>
    <xf numFmtId="164" fontId="56" fillId="0" borderId="31" xfId="105" applyNumberFormat="1" applyFont="1" applyFill="1" applyBorder="1" applyAlignment="1">
      <alignment vertical="center"/>
    </xf>
    <xf numFmtId="164" fontId="56" fillId="0" borderId="31" xfId="105" applyNumberFormat="1" applyFont="1" applyFill="1" applyBorder="1" applyAlignment="1">
      <alignment horizontal="center" vertical="center"/>
    </xf>
    <xf numFmtId="0" fontId="41" fillId="0" borderId="0" xfId="104" applyFont="1" applyFill="1" applyAlignment="1">
      <alignment vertical="center"/>
    </xf>
    <xf numFmtId="0" fontId="11" fillId="0" borderId="30" xfId="104" applyFont="1" applyFill="1" applyBorder="1" applyAlignment="1">
      <alignment vertical="top" wrapText="1"/>
    </xf>
    <xf numFmtId="0" fontId="11" fillId="0" borderId="30" xfId="104" applyFont="1" applyFill="1" applyBorder="1" applyAlignment="1">
      <alignment horizontal="center" vertical="center" wrapText="1"/>
    </xf>
    <xf numFmtId="0" fontId="11" fillId="0" borderId="30" xfId="104" applyFont="1" applyFill="1" applyBorder="1" applyAlignment="1">
      <alignment horizontal="center" vertical="center"/>
    </xf>
    <xf numFmtId="164" fontId="55" fillId="0" borderId="29" xfId="105" applyNumberFormat="1" applyFont="1" applyFill="1" applyBorder="1" applyAlignment="1">
      <alignment vertical="center"/>
    </xf>
    <xf numFmtId="164" fontId="56" fillId="0" borderId="29" xfId="105" applyNumberFormat="1" applyFont="1" applyFill="1" applyBorder="1" applyAlignment="1">
      <alignment vertical="center"/>
    </xf>
    <xf numFmtId="164" fontId="55" fillId="0" borderId="53" xfId="105" applyNumberFormat="1" applyFont="1" applyFill="1" applyBorder="1" applyAlignment="1">
      <alignment horizontal="center" vertical="center"/>
    </xf>
    <xf numFmtId="164" fontId="55" fillId="0" borderId="29" xfId="105" applyNumberFormat="1" applyFont="1" applyFill="1" applyBorder="1" applyAlignment="1">
      <alignment horizontal="center" vertical="center"/>
    </xf>
    <xf numFmtId="0" fontId="7" fillId="0" borderId="0" xfId="104" applyFont="1" applyFill="1" applyAlignment="1">
      <alignment vertical="center"/>
    </xf>
    <xf numFmtId="0" fontId="11" fillId="0" borderId="31" xfId="0" applyFont="1" applyBorder="1" applyAlignment="1">
      <alignment vertical="center" wrapText="1"/>
    </xf>
    <xf numFmtId="0" fontId="11" fillId="56" borderId="31" xfId="104" applyFont="1" applyFill="1" applyBorder="1" applyAlignment="1">
      <alignment horizontal="center" vertical="center" wrapText="1"/>
    </xf>
    <xf numFmtId="0" fontId="11" fillId="0" borderId="31" xfId="104" applyFont="1" applyFill="1" applyBorder="1" applyAlignment="1">
      <alignment horizontal="center" vertical="center"/>
    </xf>
    <xf numFmtId="164" fontId="55" fillId="0" borderId="31" xfId="105" applyNumberFormat="1" applyFont="1" applyFill="1" applyBorder="1" applyAlignment="1">
      <alignment vertical="center"/>
    </xf>
    <xf numFmtId="164" fontId="56" fillId="0" borderId="30" xfId="105" applyNumberFormat="1" applyFont="1" applyFill="1" applyBorder="1" applyAlignment="1">
      <alignment vertical="center"/>
    </xf>
    <xf numFmtId="164" fontId="55" fillId="0" borderId="30" xfId="105" applyNumberFormat="1" applyFont="1" applyFill="1" applyBorder="1" applyAlignment="1">
      <alignment horizontal="center" vertical="center"/>
    </xf>
    <xf numFmtId="0" fontId="58" fillId="0" borderId="31" xfId="0" applyFont="1" applyBorder="1" applyAlignment="1">
      <alignment horizontal="left" vertical="center" wrapText="1"/>
    </xf>
    <xf numFmtId="0" fontId="58" fillId="0" borderId="30" xfId="0" applyFont="1" applyBorder="1" applyAlignment="1">
      <alignment horizontal="left" vertical="center" wrapText="1"/>
    </xf>
    <xf numFmtId="0" fontId="11" fillId="56" borderId="30" xfId="104" applyFont="1" applyFill="1" applyBorder="1" applyAlignment="1">
      <alignment horizontal="center" vertical="center" wrapText="1"/>
    </xf>
    <xf numFmtId="164" fontId="55" fillId="0" borderId="30" xfId="105" applyNumberFormat="1" applyFont="1" applyFill="1" applyBorder="1" applyAlignment="1">
      <alignment vertical="center"/>
    </xf>
    <xf numFmtId="164" fontId="56" fillId="0" borderId="30" xfId="105" applyNumberFormat="1" applyFont="1" applyFill="1" applyBorder="1" applyAlignment="1">
      <alignment horizontal="center" vertical="center"/>
    </xf>
    <xf numFmtId="164" fontId="49" fillId="56" borderId="30" xfId="105" applyNumberFormat="1" applyFont="1" applyFill="1" applyBorder="1" applyAlignment="1">
      <alignment vertical="center"/>
    </xf>
    <xf numFmtId="164" fontId="57" fillId="56" borderId="30" xfId="105" applyNumberFormat="1" applyFont="1" applyFill="1" applyBorder="1" applyAlignment="1">
      <alignment vertical="center"/>
    </xf>
    <xf numFmtId="164" fontId="55" fillId="56" borderId="30" xfId="105" applyNumberFormat="1" applyFont="1" applyFill="1" applyBorder="1" applyAlignment="1">
      <alignment horizontal="center" vertical="center"/>
    </xf>
    <xf numFmtId="0" fontId="8" fillId="0" borderId="0" xfId="104" applyFont="1" applyFill="1" applyAlignment="1">
      <alignment vertical="center"/>
    </xf>
    <xf numFmtId="0" fontId="11" fillId="56" borderId="31" xfId="104" applyFont="1" applyFill="1" applyBorder="1" applyAlignment="1">
      <alignment vertical="top" wrapText="1"/>
    </xf>
    <xf numFmtId="0" fontId="11" fillId="56" borderId="31" xfId="104" applyFont="1" applyFill="1" applyBorder="1" applyAlignment="1">
      <alignment horizontal="center" vertical="center"/>
    </xf>
    <xf numFmtId="164" fontId="55" fillId="56" borderId="31" xfId="105" applyNumberFormat="1" applyFont="1" applyFill="1" applyBorder="1" applyAlignment="1">
      <alignment vertical="center"/>
    </xf>
    <xf numFmtId="164" fontId="56" fillId="56" borderId="31" xfId="105" applyNumberFormat="1" applyFont="1" applyFill="1" applyBorder="1" applyAlignment="1"/>
    <xf numFmtId="164" fontId="55" fillId="56" borderId="31" xfId="105" applyNumberFormat="1" applyFont="1" applyFill="1" applyBorder="1" applyAlignment="1">
      <alignment horizontal="center" vertical="center"/>
    </xf>
    <xf numFmtId="164" fontId="56" fillId="56" borderId="31" xfId="105" applyNumberFormat="1" applyFont="1" applyFill="1" applyBorder="1" applyAlignment="1">
      <alignment vertical="center"/>
    </xf>
    <xf numFmtId="164" fontId="56" fillId="56" borderId="31" xfId="105" applyNumberFormat="1" applyFont="1" applyFill="1" applyBorder="1" applyAlignment="1">
      <alignment horizontal="center" vertical="center"/>
    </xf>
    <xf numFmtId="0" fontId="11" fillId="56" borderId="30" xfId="104" applyFont="1" applyFill="1" applyBorder="1" applyAlignment="1">
      <alignment vertical="top" wrapText="1"/>
    </xf>
    <xf numFmtId="0" fontId="11" fillId="56" borderId="30" xfId="104" applyFont="1" applyFill="1" applyBorder="1" applyAlignment="1">
      <alignment vertical="center" wrapText="1"/>
    </xf>
    <xf numFmtId="0" fontId="11" fillId="56" borderId="31" xfId="104" applyFont="1" applyFill="1" applyBorder="1" applyAlignment="1">
      <alignment vertical="center" wrapText="1"/>
    </xf>
    <xf numFmtId="0" fontId="11" fillId="0" borderId="31" xfId="104" applyFont="1" applyFill="1" applyBorder="1" applyAlignment="1">
      <alignment vertical="center" wrapText="1"/>
    </xf>
    <xf numFmtId="0" fontId="11" fillId="0" borderId="31" xfId="104" applyFont="1" applyFill="1" applyBorder="1" applyAlignment="1">
      <alignment horizontal="center" vertical="center" wrapText="1"/>
    </xf>
    <xf numFmtId="0" fontId="47" fillId="0" borderId="37" xfId="104" applyFont="1" applyFill="1" applyBorder="1" applyAlignment="1">
      <alignment horizontal="center" vertical="top"/>
    </xf>
    <xf numFmtId="0" fontId="11" fillId="56" borderId="30" xfId="104" applyFont="1" applyFill="1" applyBorder="1" applyAlignment="1">
      <alignment horizontal="center" vertical="center"/>
    </xf>
    <xf numFmtId="164" fontId="55" fillId="56" borderId="30" xfId="105" applyNumberFormat="1" applyFont="1" applyFill="1" applyBorder="1" applyAlignment="1">
      <alignment vertical="center"/>
    </xf>
    <xf numFmtId="164" fontId="56" fillId="56" borderId="29" xfId="105" applyNumberFormat="1" applyFont="1" applyFill="1" applyBorder="1" applyAlignment="1">
      <alignment vertical="center"/>
    </xf>
    <xf numFmtId="164" fontId="56" fillId="56" borderId="30" xfId="105" applyNumberFormat="1" applyFont="1" applyFill="1" applyBorder="1" applyAlignment="1">
      <alignment horizontal="center" vertical="center"/>
    </xf>
    <xf numFmtId="164" fontId="56" fillId="56" borderId="30" xfId="105" applyNumberFormat="1" applyFont="1" applyFill="1" applyBorder="1" applyAlignment="1">
      <alignment vertical="center"/>
    </xf>
    <xf numFmtId="164" fontId="55" fillId="56" borderId="29" xfId="105" applyNumberFormat="1" applyFont="1" applyFill="1" applyBorder="1" applyAlignment="1">
      <alignment horizontal="center" vertical="center"/>
    </xf>
    <xf numFmtId="0" fontId="11" fillId="56" borderId="54" xfId="104" applyFont="1" applyFill="1" applyBorder="1" applyAlignment="1">
      <alignment vertical="top" wrapText="1"/>
    </xf>
    <xf numFmtId="0" fontId="11" fillId="56" borderId="29" xfId="104" applyFont="1" applyFill="1" applyBorder="1" applyAlignment="1">
      <alignment horizontal="center" vertical="center" wrapText="1"/>
    </xf>
    <xf numFmtId="0" fontId="11" fillId="56" borderId="54" xfId="104" applyFont="1" applyFill="1" applyBorder="1" applyAlignment="1">
      <alignment horizontal="center" vertical="center"/>
    </xf>
    <xf numFmtId="0" fontId="11" fillId="56" borderId="55" xfId="104" applyFont="1" applyFill="1" applyBorder="1" applyAlignment="1">
      <alignment horizontal="center" vertical="center"/>
    </xf>
    <xf numFmtId="164" fontId="55" fillId="56" borderId="54" xfId="105" applyNumberFormat="1" applyFont="1" applyFill="1" applyBorder="1" applyAlignment="1">
      <alignment vertical="center"/>
    </xf>
    <xf numFmtId="164" fontId="56" fillId="56" borderId="54" xfId="105" applyNumberFormat="1" applyFont="1" applyFill="1" applyBorder="1" applyAlignment="1">
      <alignment vertical="center"/>
    </xf>
    <xf numFmtId="164" fontId="55" fillId="56" borderId="54" xfId="105" applyNumberFormat="1" applyFont="1" applyFill="1" applyBorder="1" applyAlignment="1">
      <alignment horizontal="center" vertical="center"/>
    </xf>
    <xf numFmtId="164" fontId="56" fillId="56" borderId="54" xfId="105" applyNumberFormat="1" applyFont="1" applyFill="1" applyBorder="1" applyAlignment="1">
      <alignment horizontal="center" vertical="center"/>
    </xf>
    <xf numFmtId="0" fontId="6" fillId="56" borderId="0" xfId="104" applyFill="1" applyAlignment="1">
      <alignment vertical="center"/>
    </xf>
    <xf numFmtId="0" fontId="9" fillId="56" borderId="0" xfId="104" applyFont="1" applyFill="1" applyAlignment="1">
      <alignment vertical="center"/>
    </xf>
    <xf numFmtId="164" fontId="61" fillId="56" borderId="0" xfId="104" applyNumberFormat="1" applyFont="1" applyFill="1" applyAlignment="1">
      <alignment vertical="center"/>
    </xf>
    <xf numFmtId="0" fontId="61" fillId="56" borderId="0" xfId="104" applyFont="1" applyFill="1" applyAlignment="1">
      <alignment vertical="center"/>
    </xf>
    <xf numFmtId="0" fontId="11" fillId="56" borderId="31" xfId="104" applyFont="1" applyFill="1" applyBorder="1" applyAlignment="1">
      <alignment horizontal="left" vertical="top" wrapText="1"/>
    </xf>
    <xf numFmtId="0" fontId="49" fillId="56" borderId="31" xfId="104" applyFont="1" applyFill="1" applyBorder="1" applyAlignment="1">
      <alignment horizontal="center" vertical="center"/>
    </xf>
    <xf numFmtId="164" fontId="49" fillId="56" borderId="31" xfId="105" applyNumberFormat="1" applyFont="1" applyFill="1" applyBorder="1" applyAlignment="1">
      <alignment vertical="center"/>
    </xf>
    <xf numFmtId="164" fontId="57" fillId="56" borderId="31" xfId="105" applyNumberFormat="1" applyFont="1" applyFill="1" applyBorder="1" applyAlignment="1">
      <alignment vertical="center"/>
    </xf>
    <xf numFmtId="0" fontId="11" fillId="56" borderId="30" xfId="104" applyFont="1" applyFill="1" applyBorder="1" applyAlignment="1">
      <alignment horizontal="left" vertical="top" wrapText="1"/>
    </xf>
    <xf numFmtId="0" fontId="49" fillId="56" borderId="30" xfId="104" applyFont="1" applyFill="1" applyBorder="1" applyAlignment="1">
      <alignment horizontal="center" vertical="center"/>
    </xf>
    <xf numFmtId="164" fontId="57" fillId="56" borderId="29" xfId="105" applyNumberFormat="1" applyFont="1" applyFill="1" applyBorder="1" applyAlignment="1">
      <alignment vertical="center"/>
    </xf>
    <xf numFmtId="0" fontId="47" fillId="0" borderId="56" xfId="104" applyFont="1" applyFill="1" applyBorder="1" applyAlignment="1">
      <alignment vertical="top" wrapText="1"/>
    </xf>
    <xf numFmtId="164" fontId="49" fillId="0" borderId="53" xfId="105" applyNumberFormat="1" applyFont="1" applyFill="1" applyBorder="1" applyAlignment="1">
      <alignment vertical="center"/>
    </xf>
    <xf numFmtId="164" fontId="57" fillId="0" borderId="53" xfId="105" applyNumberFormat="1" applyFont="1" applyFill="1" applyBorder="1" applyAlignment="1">
      <alignment vertical="center"/>
    </xf>
    <xf numFmtId="164" fontId="57" fillId="0" borderId="52" xfId="105" applyNumberFormat="1" applyFont="1" applyFill="1" applyBorder="1" applyAlignment="1">
      <alignment vertical="center"/>
    </xf>
    <xf numFmtId="0" fontId="59" fillId="0" borderId="58" xfId="104" applyFont="1" applyFill="1" applyBorder="1" applyAlignment="1">
      <alignment vertical="top"/>
    </xf>
    <xf numFmtId="164" fontId="57" fillId="0" borderId="31" xfId="105" applyNumberFormat="1" applyFont="1" applyFill="1" applyBorder="1" applyAlignment="1">
      <alignment vertical="center"/>
    </xf>
    <xf numFmtId="0" fontId="59" fillId="0" borderId="55" xfId="104" applyFont="1" applyFill="1" applyBorder="1" applyAlignment="1">
      <alignment vertical="top"/>
    </xf>
    <xf numFmtId="164" fontId="57" fillId="0" borderId="54" xfId="105" applyNumberFormat="1" applyFont="1" applyFill="1" applyBorder="1" applyAlignment="1">
      <alignment vertical="center"/>
    </xf>
    <xf numFmtId="164" fontId="57" fillId="0" borderId="46" xfId="105" applyNumberFormat="1" applyFont="1" applyFill="1" applyBorder="1" applyAlignment="1">
      <alignment vertical="center"/>
    </xf>
    <xf numFmtId="0" fontId="47" fillId="0" borderId="51" xfId="104" applyFont="1" applyFill="1" applyBorder="1" applyAlignment="1">
      <alignment vertical="top" wrapText="1"/>
    </xf>
    <xf numFmtId="164" fontId="49" fillId="0" borderId="23" xfId="105" applyNumberFormat="1" applyFont="1" applyFill="1" applyBorder="1" applyAlignment="1">
      <alignment vertical="center"/>
    </xf>
    <xf numFmtId="164" fontId="57" fillId="0" borderId="23" xfId="105" applyNumberFormat="1" applyFont="1" applyFill="1" applyBorder="1" applyAlignment="1">
      <alignment vertical="center"/>
    </xf>
    <xf numFmtId="164" fontId="57" fillId="0" borderId="24" xfId="105" applyNumberFormat="1" applyFont="1" applyFill="1" applyBorder="1" applyAlignment="1">
      <alignment vertical="center"/>
    </xf>
    <xf numFmtId="0" fontId="11" fillId="56" borderId="37" xfId="104" applyFont="1" applyFill="1" applyBorder="1" applyAlignment="1">
      <alignment horizontal="center" vertical="top"/>
    </xf>
    <xf numFmtId="0" fontId="11" fillId="56" borderId="28" xfId="104" applyFont="1" applyFill="1" applyBorder="1" applyAlignment="1">
      <alignment horizontal="center" vertical="top"/>
    </xf>
    <xf numFmtId="0" fontId="11" fillId="56" borderId="52" xfId="104" applyFont="1" applyFill="1" applyBorder="1" applyAlignment="1">
      <alignment vertical="top" wrapText="1"/>
    </xf>
    <xf numFmtId="0" fontId="11" fillId="56" borderId="53" xfId="104" applyFont="1" applyFill="1" applyBorder="1" applyAlignment="1">
      <alignment horizontal="center" vertical="center" wrapText="1"/>
    </xf>
    <xf numFmtId="0" fontId="11" fillId="56" borderId="53" xfId="104" applyFont="1" applyFill="1" applyBorder="1" applyAlignment="1">
      <alignment horizontal="center" vertical="center"/>
    </xf>
    <xf numFmtId="164" fontId="55" fillId="56" borderId="53" xfId="105" applyNumberFormat="1" applyFont="1" applyFill="1" applyBorder="1" applyAlignment="1">
      <alignment vertical="center"/>
    </xf>
    <xf numFmtId="164" fontId="56" fillId="56" borderId="53" xfId="105" applyNumberFormat="1" applyFont="1" applyFill="1" applyBorder="1" applyAlignment="1">
      <alignment vertical="center"/>
    </xf>
    <xf numFmtId="164" fontId="56" fillId="56" borderId="53" xfId="105" applyNumberFormat="1" applyFont="1" applyFill="1" applyBorder="1" applyAlignment="1">
      <alignment horizontal="center" vertical="center"/>
    </xf>
    <xf numFmtId="164" fontId="56" fillId="0" borderId="32" xfId="105" applyNumberFormat="1" applyFont="1" applyFill="1" applyBorder="1" applyAlignment="1">
      <alignment horizontal="center" vertical="center"/>
    </xf>
    <xf numFmtId="0" fontId="11" fillId="56" borderId="61" xfId="104" applyFont="1" applyFill="1" applyBorder="1" applyAlignment="1">
      <alignment vertical="top" wrapText="1"/>
    </xf>
    <xf numFmtId="0" fontId="11" fillId="56" borderId="64" xfId="104" applyFont="1" applyFill="1" applyBorder="1" applyAlignment="1">
      <alignment horizontal="center" vertical="top"/>
    </xf>
    <xf numFmtId="0" fontId="11" fillId="56" borderId="55" xfId="104" applyFont="1" applyFill="1" applyBorder="1" applyAlignment="1">
      <alignment vertical="top" wrapText="1"/>
    </xf>
    <xf numFmtId="0" fontId="11" fillId="56" borderId="54" xfId="104" applyFont="1" applyFill="1" applyBorder="1" applyAlignment="1">
      <alignment horizontal="center" vertical="center" wrapText="1"/>
    </xf>
    <xf numFmtId="0" fontId="59" fillId="0" borderId="0" xfId="104" applyFont="1" applyFill="1" applyAlignment="1">
      <alignment vertical="center"/>
    </xf>
    <xf numFmtId="0" fontId="59" fillId="0" borderId="0" xfId="104" applyFont="1" applyAlignment="1">
      <alignment vertical="center"/>
    </xf>
    <xf numFmtId="164" fontId="59" fillId="0" borderId="0" xfId="104" applyNumberFormat="1" applyFont="1" applyAlignment="1">
      <alignment vertical="center"/>
    </xf>
    <xf numFmtId="0" fontId="59" fillId="33" borderId="0" xfId="104" applyFont="1" applyFill="1" applyAlignment="1">
      <alignment vertical="center"/>
    </xf>
    <xf numFmtId="164" fontId="59" fillId="33" borderId="0" xfId="104" applyNumberFormat="1" applyFont="1" applyFill="1" applyAlignment="1">
      <alignment vertical="center"/>
    </xf>
    <xf numFmtId="0" fontId="6" fillId="33" borderId="0" xfId="104" applyFill="1" applyAlignment="1">
      <alignment vertical="center"/>
    </xf>
    <xf numFmtId="0" fontId="49" fillId="33" borderId="35" xfId="104" applyFont="1" applyFill="1" applyBorder="1" applyAlignment="1">
      <alignment vertical="top"/>
    </xf>
    <xf numFmtId="164" fontId="49" fillId="33" borderId="31" xfId="105" applyNumberFormat="1" applyFont="1" applyFill="1" applyBorder="1" applyAlignment="1">
      <alignment vertical="center"/>
    </xf>
    <xf numFmtId="164" fontId="49" fillId="33" borderId="36" xfId="105" applyNumberFormat="1" applyFont="1" applyFill="1" applyBorder="1" applyAlignment="1">
      <alignment vertical="center"/>
    </xf>
    <xf numFmtId="0" fontId="45" fillId="0" borderId="0" xfId="104" applyFont="1" applyAlignment="1">
      <alignment horizontal="right" wrapText="1"/>
    </xf>
    <xf numFmtId="0" fontId="47" fillId="56" borderId="39" xfId="104" applyFont="1" applyFill="1" applyBorder="1" applyAlignment="1">
      <alignment vertical="top"/>
    </xf>
    <xf numFmtId="164" fontId="49" fillId="56" borderId="43" xfId="105" applyNumberFormat="1" applyFont="1" applyFill="1" applyBorder="1" applyAlignment="1">
      <alignment vertical="center"/>
    </xf>
    <xf numFmtId="164" fontId="49" fillId="56" borderId="44" xfId="105" applyNumberFormat="1" applyFont="1" applyFill="1" applyBorder="1" applyAlignment="1">
      <alignment vertical="center"/>
    </xf>
    <xf numFmtId="0" fontId="47" fillId="56" borderId="45" xfId="104" applyFont="1" applyFill="1" applyBorder="1" applyAlignment="1">
      <alignment vertical="top"/>
    </xf>
    <xf numFmtId="164" fontId="49" fillId="56" borderId="49" xfId="105" applyNumberFormat="1" applyFont="1" applyFill="1" applyBorder="1" applyAlignment="1">
      <alignment vertical="center"/>
    </xf>
    <xf numFmtId="164" fontId="49" fillId="56" borderId="50" xfId="105" applyNumberFormat="1" applyFont="1" applyFill="1" applyBorder="1" applyAlignment="1">
      <alignment vertical="center"/>
    </xf>
    <xf numFmtId="164" fontId="57" fillId="56" borderId="43" xfId="105" applyNumberFormat="1" applyFont="1" applyFill="1" applyBorder="1" applyAlignment="1">
      <alignment vertical="center"/>
    </xf>
    <xf numFmtId="164" fontId="57" fillId="56" borderId="44" xfId="105" applyNumberFormat="1" applyFont="1" applyFill="1" applyBorder="1" applyAlignment="1">
      <alignment vertical="center"/>
    </xf>
    <xf numFmtId="0" fontId="47" fillId="56" borderId="28" xfId="104" applyFont="1" applyFill="1" applyBorder="1" applyAlignment="1">
      <alignment vertical="top"/>
    </xf>
    <xf numFmtId="164" fontId="57" fillId="56" borderId="49" xfId="105" applyNumberFormat="1" applyFont="1" applyFill="1" applyBorder="1" applyAlignment="1">
      <alignment vertical="center"/>
    </xf>
    <xf numFmtId="164" fontId="57" fillId="56" borderId="50" xfId="105" applyNumberFormat="1" applyFont="1" applyFill="1" applyBorder="1" applyAlignment="1">
      <alignment vertical="center"/>
    </xf>
    <xf numFmtId="0" fontId="47" fillId="56" borderId="56" xfId="104" applyFont="1" applyFill="1" applyBorder="1" applyAlignment="1">
      <alignment vertical="top"/>
    </xf>
    <xf numFmtId="164" fontId="57" fillId="56" borderId="57" xfId="105" applyNumberFormat="1" applyFont="1" applyFill="1" applyBorder="1" applyAlignment="1">
      <alignment vertical="center"/>
    </xf>
    <xf numFmtId="0" fontId="59" fillId="56" borderId="58" xfId="104" applyFont="1" applyFill="1" applyBorder="1" applyAlignment="1">
      <alignment vertical="top"/>
    </xf>
    <xf numFmtId="164" fontId="57" fillId="56" borderId="11" xfId="105" applyNumberFormat="1" applyFont="1" applyFill="1" applyBorder="1" applyAlignment="1">
      <alignment vertical="center"/>
    </xf>
    <xf numFmtId="164" fontId="57" fillId="56" borderId="53" xfId="105" applyNumberFormat="1" applyFont="1" applyFill="1" applyBorder="1" applyAlignment="1">
      <alignment vertical="center"/>
    </xf>
    <xf numFmtId="0" fontId="47" fillId="56" borderId="58" xfId="104" applyFont="1" applyFill="1" applyBorder="1" applyAlignment="1">
      <alignment vertical="top"/>
    </xf>
    <xf numFmtId="164" fontId="57" fillId="56" borderId="10" xfId="105" applyNumberFormat="1" applyFont="1" applyFill="1" applyBorder="1" applyAlignment="1">
      <alignment vertical="center"/>
    </xf>
    <xf numFmtId="0" fontId="59" fillId="56" borderId="61" xfId="104" applyFont="1" applyFill="1" applyBorder="1" applyAlignment="1">
      <alignment vertical="top"/>
    </xf>
    <xf numFmtId="164" fontId="57" fillId="56" borderId="62" xfId="105" applyNumberFormat="1" applyFont="1" applyFill="1" applyBorder="1" applyAlignment="1">
      <alignment vertical="center"/>
    </xf>
    <xf numFmtId="0" fontId="53" fillId="56" borderId="39" xfId="104" applyFont="1" applyFill="1" applyBorder="1" applyAlignment="1">
      <alignment vertical="top"/>
    </xf>
    <xf numFmtId="164" fontId="60" fillId="56" borderId="43" xfId="105" applyNumberFormat="1" applyFont="1" applyFill="1" applyBorder="1" applyAlignment="1">
      <alignment vertical="center"/>
    </xf>
    <xf numFmtId="164" fontId="60" fillId="56" borderId="44" xfId="105" applyNumberFormat="1" applyFont="1" applyFill="1" applyBorder="1" applyAlignment="1">
      <alignment vertical="center"/>
    </xf>
    <xf numFmtId="164" fontId="60" fillId="56" borderId="66" xfId="105" applyNumberFormat="1" applyFont="1" applyFill="1" applyBorder="1" applyAlignment="1">
      <alignment vertical="center"/>
    </xf>
    <xf numFmtId="164" fontId="56" fillId="0" borderId="36" xfId="105" applyNumberFormat="1" applyFont="1" applyFill="1" applyBorder="1" applyAlignment="1">
      <alignment horizontal="center" vertical="center"/>
    </xf>
    <xf numFmtId="0" fontId="47" fillId="56" borderId="35" xfId="104" applyFont="1" applyFill="1" applyBorder="1" applyAlignment="1">
      <alignment vertical="top"/>
    </xf>
    <xf numFmtId="164" fontId="56" fillId="0" borderId="65" xfId="105" applyNumberFormat="1" applyFont="1" applyFill="1" applyBorder="1" applyAlignment="1">
      <alignment horizontal="center" vertical="center"/>
    </xf>
    <xf numFmtId="0" fontId="11" fillId="56" borderId="31" xfId="104" applyNumberFormat="1" applyFont="1" applyFill="1" applyBorder="1" applyAlignment="1">
      <alignment horizontal="left" vertical="top" wrapText="1"/>
    </xf>
    <xf numFmtId="0" fontId="53" fillId="56" borderId="31" xfId="104" applyFont="1" applyFill="1" applyBorder="1" applyAlignment="1">
      <alignment horizontal="center" vertical="center"/>
    </xf>
    <xf numFmtId="0" fontId="11" fillId="56" borderId="53" xfId="104" applyNumberFormat="1" applyFont="1" applyFill="1" applyBorder="1" applyAlignment="1">
      <alignment horizontal="left" vertical="top" wrapText="1"/>
    </xf>
    <xf numFmtId="0" fontId="49" fillId="56" borderId="53" xfId="104" applyFont="1" applyFill="1" applyBorder="1" applyAlignment="1">
      <alignment horizontal="center" vertical="center"/>
    </xf>
    <xf numFmtId="164" fontId="49" fillId="56" borderId="53" xfId="105" applyNumberFormat="1" applyFont="1" applyFill="1" applyBorder="1" applyAlignment="1">
      <alignment vertical="center"/>
    </xf>
    <xf numFmtId="164" fontId="60" fillId="56" borderId="40" xfId="105" applyNumberFormat="1" applyFont="1" applyFill="1" applyBorder="1" applyAlignment="1">
      <alignment vertical="center"/>
    </xf>
    <xf numFmtId="0" fontId="47" fillId="56" borderId="37" xfId="104" applyFont="1" applyFill="1" applyBorder="1" applyAlignment="1">
      <alignment vertical="top"/>
    </xf>
    <xf numFmtId="0" fontId="47" fillId="56" borderId="63" xfId="104" applyFont="1" applyFill="1" applyBorder="1" applyAlignment="1">
      <alignment vertical="top"/>
    </xf>
    <xf numFmtId="164" fontId="56" fillId="0" borderId="60" xfId="105" applyNumberFormat="1" applyFont="1" applyFill="1" applyBorder="1" applyAlignment="1">
      <alignment horizontal="center" vertical="center"/>
    </xf>
    <xf numFmtId="0" fontId="47" fillId="56" borderId="45" xfId="104" applyFont="1" applyFill="1" applyBorder="1" applyAlignment="1">
      <alignment horizontal="center" vertical="top"/>
    </xf>
    <xf numFmtId="164" fontId="57" fillId="56" borderId="31" xfId="105" applyNumberFormat="1" applyFont="1" applyFill="1" applyBorder="1" applyAlignment="1">
      <alignment horizontal="center" vertical="center"/>
    </xf>
    <xf numFmtId="49" fontId="66" fillId="57" borderId="68" xfId="2" applyNumberFormat="1" applyFont="1" applyFill="1" applyBorder="1" applyAlignment="1">
      <alignment horizontal="center" vertical="center"/>
    </xf>
    <xf numFmtId="49" fontId="66" fillId="57" borderId="69" xfId="2" applyNumberFormat="1" applyFont="1" applyFill="1" applyBorder="1" applyAlignment="1" applyProtection="1">
      <alignment horizontal="center" vertical="center"/>
      <protection locked="0"/>
    </xf>
    <xf numFmtId="49" fontId="66" fillId="57" borderId="70" xfId="2" applyNumberFormat="1" applyFont="1" applyFill="1" applyBorder="1" applyAlignment="1">
      <alignment horizontal="center" vertical="center"/>
    </xf>
    <xf numFmtId="1" fontId="66" fillId="57" borderId="68" xfId="2" applyNumberFormat="1" applyFont="1" applyFill="1" applyBorder="1" applyAlignment="1">
      <alignment horizontal="center" vertical="center" wrapText="1"/>
    </xf>
    <xf numFmtId="1" fontId="66" fillId="57" borderId="71" xfId="2" applyNumberFormat="1" applyFont="1" applyFill="1" applyBorder="1" applyAlignment="1">
      <alignment horizontal="center" vertical="center" wrapText="1"/>
    </xf>
    <xf numFmtId="1" fontId="66" fillId="57" borderId="72" xfId="2" applyNumberFormat="1" applyFont="1" applyFill="1" applyBorder="1" applyAlignment="1">
      <alignment horizontal="center" vertical="center" wrapText="1"/>
    </xf>
    <xf numFmtId="1" fontId="66" fillId="57" borderId="73" xfId="2" applyNumberFormat="1" applyFont="1" applyFill="1" applyBorder="1" applyAlignment="1">
      <alignment horizontal="center" vertical="center"/>
    </xf>
    <xf numFmtId="1" fontId="66" fillId="57" borderId="71" xfId="2" applyNumberFormat="1" applyFont="1" applyFill="1" applyBorder="1" applyAlignment="1">
      <alignment horizontal="center" vertical="center"/>
    </xf>
    <xf numFmtId="1" fontId="66" fillId="57" borderId="72" xfId="2" applyNumberFormat="1" applyFont="1" applyFill="1" applyBorder="1" applyAlignment="1">
      <alignment horizontal="center" vertical="center"/>
    </xf>
    <xf numFmtId="165" fontId="71" fillId="58" borderId="74" xfId="2" applyNumberFormat="1" applyFont="1" applyFill="1" applyBorder="1" applyAlignment="1">
      <alignment vertical="center" shrinkToFit="1"/>
    </xf>
    <xf numFmtId="165" fontId="71" fillId="58" borderId="77" xfId="2" applyNumberFormat="1" applyFont="1" applyFill="1" applyBorder="1" applyAlignment="1">
      <alignment vertical="center" shrinkToFit="1"/>
    </xf>
    <xf numFmtId="165" fontId="71" fillId="58" borderId="78" xfId="2" applyNumberFormat="1" applyFont="1" applyFill="1" applyBorder="1" applyAlignment="1">
      <alignment vertical="center" shrinkToFit="1"/>
    </xf>
    <xf numFmtId="165" fontId="71" fillId="0" borderId="79" xfId="2" applyNumberFormat="1" applyFont="1" applyFill="1" applyBorder="1" applyAlignment="1">
      <alignment vertical="center" shrinkToFit="1"/>
    </xf>
    <xf numFmtId="165" fontId="71" fillId="0" borderId="77" xfId="2" applyNumberFormat="1" applyFont="1" applyFill="1" applyBorder="1" applyAlignment="1">
      <alignment vertical="center" shrinkToFit="1"/>
    </xf>
    <xf numFmtId="165" fontId="71" fillId="0" borderId="78" xfId="2" applyNumberFormat="1" applyFont="1" applyFill="1" applyBorder="1" applyAlignment="1">
      <alignment vertical="center" shrinkToFit="1"/>
    </xf>
    <xf numFmtId="165" fontId="73" fillId="58" borderId="74" xfId="2" applyNumberFormat="1" applyFont="1" applyFill="1" applyBorder="1" applyAlignment="1">
      <alignment vertical="center" shrinkToFit="1"/>
    </xf>
    <xf numFmtId="165" fontId="73" fillId="58" borderId="77" xfId="2" applyNumberFormat="1" applyFont="1" applyFill="1" applyBorder="1" applyAlignment="1">
      <alignment vertical="center" shrinkToFit="1"/>
    </xf>
    <xf numFmtId="165" fontId="73" fillId="58" borderId="78" xfId="2" applyNumberFormat="1" applyFont="1" applyFill="1" applyBorder="1" applyAlignment="1">
      <alignment vertical="center" shrinkToFit="1"/>
    </xf>
    <xf numFmtId="165" fontId="73" fillId="0" borderId="79" xfId="2" applyNumberFormat="1" applyFont="1" applyFill="1" applyBorder="1" applyAlignment="1">
      <alignment vertical="center" shrinkToFit="1"/>
    </xf>
    <xf numFmtId="165" fontId="73" fillId="0" borderId="77" xfId="2" applyNumberFormat="1" applyFont="1" applyFill="1" applyBorder="1" applyAlignment="1">
      <alignment vertical="center" shrinkToFit="1"/>
    </xf>
    <xf numFmtId="165" fontId="73" fillId="0" borderId="78" xfId="2" applyNumberFormat="1" applyFont="1" applyFill="1" applyBorder="1" applyAlignment="1">
      <alignment vertical="center" shrinkToFit="1"/>
    </xf>
    <xf numFmtId="165" fontId="71" fillId="58" borderId="74" xfId="2" applyNumberFormat="1" applyFont="1" applyFill="1" applyBorder="1" applyAlignment="1">
      <alignment horizontal="center" vertical="center" shrinkToFit="1"/>
    </xf>
    <xf numFmtId="165" fontId="71" fillId="58" borderId="77" xfId="2" applyNumberFormat="1" applyFont="1" applyFill="1" applyBorder="1" applyAlignment="1">
      <alignment horizontal="center" vertical="center" shrinkToFit="1"/>
    </xf>
    <xf numFmtId="165" fontId="71" fillId="58" borderId="78" xfId="2" applyNumberFormat="1" applyFont="1" applyFill="1" applyBorder="1" applyAlignment="1">
      <alignment horizontal="center" vertical="center" shrinkToFit="1"/>
    </xf>
    <xf numFmtId="165" fontId="71" fillId="0" borderId="79" xfId="2" applyNumberFormat="1" applyFont="1" applyFill="1" applyBorder="1" applyAlignment="1">
      <alignment horizontal="center" vertical="center" shrinkToFit="1"/>
    </xf>
    <xf numFmtId="165" fontId="71" fillId="0" borderId="77" xfId="2" applyNumberFormat="1" applyFont="1" applyFill="1" applyBorder="1" applyAlignment="1">
      <alignment horizontal="center" vertical="center" shrinkToFit="1"/>
    </xf>
    <xf numFmtId="165" fontId="71" fillId="0" borderId="78" xfId="2" applyNumberFormat="1" applyFont="1" applyFill="1" applyBorder="1" applyAlignment="1">
      <alignment horizontal="center" vertical="center" shrinkToFit="1"/>
    </xf>
    <xf numFmtId="166" fontId="73" fillId="58" borderId="74" xfId="2" applyNumberFormat="1" applyFont="1" applyFill="1" applyBorder="1" applyAlignment="1">
      <alignment vertical="center" shrinkToFit="1"/>
    </xf>
    <xf numFmtId="166" fontId="73" fillId="58" borderId="77" xfId="2" applyNumberFormat="1" applyFont="1" applyFill="1" applyBorder="1" applyAlignment="1">
      <alignment vertical="center" shrinkToFit="1"/>
    </xf>
    <xf numFmtId="166" fontId="73" fillId="58" borderId="78" xfId="2" applyNumberFormat="1" applyFont="1" applyFill="1" applyBorder="1" applyAlignment="1">
      <alignment vertical="center" shrinkToFit="1"/>
    </xf>
    <xf numFmtId="166" fontId="73" fillId="0" borderId="79" xfId="2" applyNumberFormat="1" applyFont="1" applyFill="1" applyBorder="1" applyAlignment="1">
      <alignment vertical="center" shrinkToFit="1"/>
    </xf>
    <xf numFmtId="166" fontId="73" fillId="0" borderId="77" xfId="2" applyNumberFormat="1" applyFont="1" applyFill="1" applyBorder="1" applyAlignment="1">
      <alignment vertical="center" shrinkToFit="1"/>
    </xf>
    <xf numFmtId="166" fontId="73" fillId="0" borderId="78" xfId="2" applyNumberFormat="1" applyFont="1" applyFill="1" applyBorder="1" applyAlignment="1">
      <alignment vertical="center" shrinkToFit="1"/>
    </xf>
    <xf numFmtId="0" fontId="73" fillId="0" borderId="79" xfId="2" applyNumberFormat="1" applyFont="1" applyFill="1" applyBorder="1" applyAlignment="1">
      <alignment horizontal="center" vertical="center" shrinkToFit="1"/>
    </xf>
    <xf numFmtId="0" fontId="73" fillId="0" borderId="77" xfId="2" applyNumberFormat="1" applyFont="1" applyFill="1" applyBorder="1" applyAlignment="1">
      <alignment horizontal="center" vertical="center" shrinkToFit="1"/>
    </xf>
    <xf numFmtId="0" fontId="73" fillId="0" borderId="78" xfId="2" applyNumberFormat="1" applyFont="1" applyFill="1" applyBorder="1" applyAlignment="1">
      <alignment horizontal="center" vertical="center" shrinkToFit="1"/>
    </xf>
    <xf numFmtId="165" fontId="73" fillId="58" borderId="80" xfId="2" applyNumberFormat="1" applyFont="1" applyFill="1" applyBorder="1" applyAlignment="1">
      <alignment vertical="center" shrinkToFit="1"/>
    </xf>
    <xf numFmtId="165" fontId="73" fillId="58" borderId="82" xfId="2" applyNumberFormat="1" applyFont="1" applyFill="1" applyBorder="1" applyAlignment="1">
      <alignment vertical="center" shrinkToFit="1"/>
    </xf>
    <xf numFmtId="165" fontId="73" fillId="58" borderId="83" xfId="2" applyNumberFormat="1" applyFont="1" applyFill="1" applyBorder="1" applyAlignment="1">
      <alignment vertical="center" shrinkToFit="1"/>
    </xf>
    <xf numFmtId="165" fontId="73" fillId="0" borderId="84" xfId="2" applyNumberFormat="1" applyFont="1" applyFill="1" applyBorder="1" applyAlignment="1">
      <alignment vertical="center" shrinkToFit="1"/>
    </xf>
    <xf numFmtId="165" fontId="73" fillId="0" borderId="82" xfId="2" applyNumberFormat="1" applyFont="1" applyFill="1" applyBorder="1" applyAlignment="1">
      <alignment vertical="center" shrinkToFit="1"/>
    </xf>
    <xf numFmtId="165" fontId="73" fillId="0" borderId="83" xfId="2" applyNumberFormat="1" applyFont="1" applyFill="1" applyBorder="1" applyAlignment="1">
      <alignment vertical="center" shrinkToFit="1"/>
    </xf>
    <xf numFmtId="0" fontId="80" fillId="0" borderId="85" xfId="3" applyFont="1" applyBorder="1" applyAlignment="1">
      <alignment vertical="center"/>
    </xf>
    <xf numFmtId="0" fontId="81" fillId="0" borderId="69" xfId="3" applyFont="1" applyBorder="1" applyAlignment="1">
      <alignment vertical="center"/>
    </xf>
    <xf numFmtId="0" fontId="80" fillId="0" borderId="86" xfId="3" applyFont="1" applyBorder="1" applyAlignment="1">
      <alignment vertical="center"/>
    </xf>
    <xf numFmtId="0" fontId="81" fillId="0" borderId="75" xfId="3" applyFont="1" applyBorder="1" applyAlignment="1">
      <alignment vertical="center"/>
    </xf>
    <xf numFmtId="0" fontId="83" fillId="0" borderId="86" xfId="3" applyFont="1" applyBorder="1" applyAlignment="1">
      <alignment vertical="center"/>
    </xf>
    <xf numFmtId="0" fontId="11" fillId="0" borderId="75" xfId="3" applyFont="1" applyBorder="1" applyAlignment="1">
      <alignment vertical="center"/>
    </xf>
    <xf numFmtId="0" fontId="80" fillId="0" borderId="87" xfId="3" applyFont="1" applyBorder="1" applyAlignment="1">
      <alignment vertical="center"/>
    </xf>
    <xf numFmtId="0" fontId="81" fillId="0" borderId="81" xfId="3" applyFont="1" applyBorder="1" applyAlignment="1">
      <alignment vertical="center"/>
    </xf>
    <xf numFmtId="167" fontId="67" fillId="62" borderId="0" xfId="4" applyNumberFormat="1" applyFont="1" applyFill="1" applyAlignment="1">
      <alignment vertical="center"/>
    </xf>
    <xf numFmtId="167" fontId="67" fillId="0" borderId="0" xfId="4" applyNumberFormat="1" applyFont="1" applyFill="1" applyAlignment="1">
      <alignment vertical="center"/>
    </xf>
    <xf numFmtId="167" fontId="67" fillId="60" borderId="0" xfId="4" applyNumberFormat="1" applyFont="1" applyFill="1" applyAlignment="1">
      <alignment vertical="center"/>
    </xf>
    <xf numFmtId="167" fontId="67" fillId="33" borderId="0" xfId="4" applyNumberFormat="1" applyFont="1" applyFill="1" applyAlignment="1">
      <alignment vertical="center"/>
    </xf>
    <xf numFmtId="167" fontId="63" fillId="33" borderId="0" xfId="5" applyNumberFormat="1" applyFont="1" applyFill="1" applyAlignment="1">
      <alignment vertical="center"/>
    </xf>
    <xf numFmtId="167" fontId="63" fillId="0" borderId="0" xfId="5" applyNumberFormat="1" applyFont="1" applyFill="1" applyAlignment="1">
      <alignment vertical="center"/>
    </xf>
    <xf numFmtId="167" fontId="63" fillId="60" borderId="0" xfId="5" applyNumberFormat="1" applyFont="1" applyFill="1" applyAlignment="1">
      <alignment vertical="center"/>
    </xf>
    <xf numFmtId="167" fontId="63" fillId="62" borderId="0" xfId="5" applyNumberFormat="1" applyFont="1" applyFill="1" applyAlignment="1">
      <alignment vertical="center"/>
    </xf>
    <xf numFmtId="167" fontId="71" fillId="0" borderId="0" xfId="5" applyNumberFormat="1" applyFont="1" applyFill="1" applyAlignment="1">
      <alignment horizontal="center" vertical="center" wrapText="1"/>
    </xf>
    <xf numFmtId="167" fontId="71" fillId="0" borderId="73" xfId="4" applyNumberFormat="1" applyFont="1" applyFill="1" applyBorder="1" applyAlignment="1">
      <alignment horizontal="right" vertical="center"/>
    </xf>
    <xf numFmtId="167" fontId="71" fillId="0" borderId="71" xfId="4" applyNumberFormat="1" applyFont="1" applyFill="1" applyBorder="1" applyAlignment="1">
      <alignment horizontal="right" vertical="center"/>
    </xf>
    <xf numFmtId="167" fontId="71" fillId="0" borderId="72" xfId="4" applyNumberFormat="1" applyFont="1" applyFill="1" applyBorder="1" applyAlignment="1">
      <alignment horizontal="right" vertical="center"/>
    </xf>
    <xf numFmtId="167" fontId="73" fillId="0" borderId="79" xfId="4" applyNumberFormat="1" applyFont="1" applyFill="1" applyBorder="1" applyAlignment="1">
      <alignment horizontal="right" vertical="center"/>
    </xf>
    <xf numFmtId="167" fontId="73" fillId="0" borderId="77" xfId="4" applyNumberFormat="1" applyFont="1" applyFill="1" applyBorder="1" applyAlignment="1">
      <alignment horizontal="right" vertical="center"/>
    </xf>
    <xf numFmtId="167" fontId="73" fillId="0" borderId="78" xfId="4" applyNumberFormat="1" applyFont="1" applyFill="1" applyBorder="1" applyAlignment="1">
      <alignment horizontal="right" vertical="center"/>
    </xf>
    <xf numFmtId="167" fontId="73" fillId="0" borderId="93" xfId="4" applyNumberFormat="1" applyFont="1" applyFill="1" applyBorder="1" applyAlignment="1">
      <alignment horizontal="right" vertical="center"/>
    </xf>
    <xf numFmtId="167" fontId="73" fillId="0" borderId="91" xfId="4" applyNumberFormat="1" applyFont="1" applyFill="1" applyBorder="1" applyAlignment="1">
      <alignment horizontal="right" vertical="center"/>
    </xf>
    <xf numFmtId="167" fontId="73" fillId="0" borderId="92" xfId="4" applyNumberFormat="1" applyFont="1" applyFill="1" applyBorder="1" applyAlignment="1">
      <alignment horizontal="right" vertical="center"/>
    </xf>
    <xf numFmtId="167" fontId="71" fillId="0" borderId="79" xfId="4" applyNumberFormat="1" applyFont="1" applyFill="1" applyBorder="1" applyAlignment="1">
      <alignment horizontal="right" vertical="center"/>
    </xf>
    <xf numFmtId="167" fontId="71" fillId="0" borderId="77" xfId="4" applyNumberFormat="1" applyFont="1" applyFill="1" applyBorder="1" applyAlignment="1">
      <alignment horizontal="right" vertical="center"/>
    </xf>
    <xf numFmtId="167" fontId="71" fillId="0" borderId="78" xfId="4" applyNumberFormat="1" applyFont="1" applyFill="1" applyBorder="1" applyAlignment="1">
      <alignment horizontal="right" vertical="center"/>
    </xf>
    <xf numFmtId="167" fontId="73" fillId="0" borderId="84" xfId="4" applyNumberFormat="1" applyFont="1" applyFill="1" applyBorder="1" applyAlignment="1">
      <alignment horizontal="right" vertical="center"/>
    </xf>
    <xf numFmtId="167" fontId="73" fillId="0" borderId="82" xfId="4" applyNumberFormat="1" applyFont="1" applyFill="1" applyBorder="1" applyAlignment="1">
      <alignment horizontal="right" vertical="center"/>
    </xf>
    <xf numFmtId="167" fontId="73" fillId="0" borderId="83" xfId="4" applyNumberFormat="1" applyFont="1" applyFill="1" applyBorder="1" applyAlignment="1">
      <alignment horizontal="right" vertical="center"/>
    </xf>
    <xf numFmtId="0" fontId="47" fillId="57" borderId="30" xfId="104" applyFont="1" applyFill="1" applyBorder="1" applyAlignment="1">
      <alignment horizontal="center" vertical="center" wrapText="1"/>
    </xf>
    <xf numFmtId="0" fontId="47" fillId="57" borderId="31" xfId="104" applyFont="1" applyFill="1" applyBorder="1" applyAlignment="1">
      <alignment horizontal="center" vertical="center" wrapText="1"/>
    </xf>
    <xf numFmtId="0" fontId="47" fillId="57" borderId="29" xfId="104" applyFont="1" applyFill="1" applyBorder="1" applyAlignment="1">
      <alignment horizontal="center" vertical="center" wrapText="1"/>
    </xf>
    <xf numFmtId="164" fontId="57" fillId="56" borderId="32" xfId="105" applyNumberFormat="1" applyFont="1" applyFill="1" applyBorder="1" applyAlignment="1">
      <alignment vertical="center"/>
    </xf>
    <xf numFmtId="0" fontId="47" fillId="0" borderId="28" xfId="104" applyFont="1" applyFill="1" applyBorder="1" applyAlignment="1">
      <alignment horizontal="center" vertical="top"/>
    </xf>
    <xf numFmtId="0" fontId="47" fillId="0" borderId="21" xfId="104" applyFont="1" applyFill="1" applyBorder="1" applyAlignment="1">
      <alignment horizontal="center" vertical="top"/>
    </xf>
    <xf numFmtId="0" fontId="7" fillId="56" borderId="0" xfId="104" applyFont="1" applyFill="1" applyAlignment="1">
      <alignment vertical="center"/>
    </xf>
    <xf numFmtId="0" fontId="11" fillId="56" borderId="30" xfId="104" applyNumberFormat="1" applyFont="1" applyFill="1" applyBorder="1" applyAlignment="1">
      <alignment horizontal="left" vertical="top" wrapText="1"/>
    </xf>
    <xf numFmtId="0" fontId="60" fillId="56" borderId="30" xfId="104" applyFont="1" applyFill="1" applyBorder="1" applyAlignment="1">
      <alignment horizontal="center" vertical="center"/>
    </xf>
    <xf numFmtId="0" fontId="47" fillId="56" borderId="35" xfId="104" applyFont="1" applyFill="1" applyBorder="1" applyAlignment="1">
      <alignment horizontal="center" vertical="top"/>
    </xf>
    <xf numFmtId="164" fontId="56" fillId="56" borderId="38" xfId="105" applyNumberFormat="1" applyFont="1" applyFill="1" applyBorder="1" applyAlignment="1">
      <alignment horizontal="center" vertical="center"/>
    </xf>
    <xf numFmtId="0" fontId="11" fillId="56" borderId="24" xfId="104" applyFont="1" applyFill="1" applyBorder="1" applyAlignment="1">
      <alignment vertical="top" wrapText="1"/>
    </xf>
    <xf numFmtId="0" fontId="11" fillId="56" borderId="22" xfId="104" applyFont="1" applyFill="1" applyBorder="1" applyAlignment="1">
      <alignment horizontal="center" vertical="center"/>
    </xf>
    <xf numFmtId="164" fontId="55" fillId="56" borderId="22" xfId="105" applyNumberFormat="1" applyFont="1" applyFill="1" applyBorder="1" applyAlignment="1">
      <alignment vertical="center"/>
    </xf>
    <xf numFmtId="164" fontId="56" fillId="56" borderId="22" xfId="105" applyNumberFormat="1" applyFont="1" applyFill="1" applyBorder="1" applyAlignment="1">
      <alignment vertical="center"/>
    </xf>
    <xf numFmtId="164" fontId="56" fillId="56" borderId="22" xfId="105" applyNumberFormat="1" applyFont="1" applyFill="1" applyBorder="1" applyAlignment="1">
      <alignment horizontal="center" vertical="center"/>
    </xf>
    <xf numFmtId="0" fontId="11" fillId="56" borderId="35" xfId="104" applyFont="1" applyFill="1" applyBorder="1" applyAlignment="1">
      <alignment horizontal="center" vertical="top"/>
    </xf>
    <xf numFmtId="0" fontId="11" fillId="56" borderId="29" xfId="104" applyFont="1" applyFill="1" applyBorder="1" applyAlignment="1">
      <alignment horizontal="center" vertical="center"/>
    </xf>
    <xf numFmtId="164" fontId="55" fillId="56" borderId="29" xfId="105" applyNumberFormat="1" applyFont="1" applyFill="1" applyBorder="1" applyAlignment="1">
      <alignment vertical="center"/>
    </xf>
    <xf numFmtId="164" fontId="56" fillId="56" borderId="29" xfId="105" applyNumberFormat="1" applyFont="1" applyFill="1" applyBorder="1" applyAlignment="1">
      <alignment horizontal="center" vertical="center"/>
    </xf>
    <xf numFmtId="0" fontId="1" fillId="0" borderId="0" xfId="112" applyAlignment="1">
      <alignment horizontal="center" vertical="center"/>
    </xf>
    <xf numFmtId="0" fontId="62" fillId="0" borderId="0" xfId="112" applyFont="1" applyProtection="1">
      <protection locked="0"/>
    </xf>
    <xf numFmtId="0" fontId="62" fillId="0" borderId="0" xfId="112" applyFont="1" applyAlignment="1" applyProtection="1">
      <protection locked="0"/>
    </xf>
    <xf numFmtId="0" fontId="1" fillId="0" borderId="0" xfId="112" applyProtection="1">
      <protection locked="0"/>
    </xf>
    <xf numFmtId="0" fontId="63" fillId="0" borderId="0" xfId="112" applyFont="1" applyProtection="1">
      <protection locked="0"/>
    </xf>
    <xf numFmtId="0" fontId="64" fillId="0" borderId="0" xfId="112" applyFont="1" applyAlignment="1" applyProtection="1">
      <alignment vertical="center"/>
      <protection locked="0"/>
    </xf>
    <xf numFmtId="0" fontId="1" fillId="0" borderId="0" xfId="112"/>
    <xf numFmtId="0" fontId="63" fillId="0" borderId="0" xfId="112" applyFont="1"/>
    <xf numFmtId="0" fontId="65" fillId="0" borderId="0" xfId="112" applyFont="1" applyAlignment="1" applyProtection="1">
      <alignment horizontal="right" vertical="center"/>
      <protection locked="0"/>
    </xf>
    <xf numFmtId="0" fontId="63" fillId="0" borderId="0" xfId="112" applyFont="1" applyAlignment="1"/>
    <xf numFmtId="49" fontId="66" fillId="63" borderId="0" xfId="112" applyNumberFormat="1" applyFont="1" applyFill="1" applyAlignment="1" applyProtection="1">
      <alignment vertical="center"/>
      <protection locked="0"/>
    </xf>
    <xf numFmtId="0" fontId="63" fillId="0" borderId="0" xfId="112" applyFont="1" applyBorder="1" applyProtection="1">
      <protection locked="0"/>
    </xf>
    <xf numFmtId="0" fontId="64" fillId="0" borderId="0" xfId="112" applyFont="1" applyProtection="1">
      <protection locked="0"/>
    </xf>
    <xf numFmtId="0" fontId="67" fillId="0" borderId="0" xfId="112" applyFont="1" applyAlignment="1" applyProtection="1">
      <alignment horizontal="left"/>
      <protection locked="0"/>
    </xf>
    <xf numFmtId="0" fontId="91" fillId="0" borderId="0" xfId="112" applyFont="1" applyProtection="1">
      <protection locked="0"/>
    </xf>
    <xf numFmtId="0" fontId="69" fillId="0" borderId="0" xfId="112" applyFont="1" applyAlignment="1">
      <alignment horizontal="left" vertical="center"/>
    </xf>
    <xf numFmtId="0" fontId="1" fillId="0" borderId="0" xfId="112" applyFont="1"/>
    <xf numFmtId="0" fontId="70" fillId="0" borderId="74" xfId="112" applyFont="1" applyBorder="1" applyAlignment="1">
      <alignment horizontal="left" vertical="center"/>
    </xf>
    <xf numFmtId="0" fontId="70" fillId="0" borderId="75" xfId="112" applyFont="1" applyBorder="1" applyAlignment="1" applyProtection="1">
      <alignment horizontal="left" vertical="center"/>
      <protection locked="0"/>
    </xf>
    <xf numFmtId="0" fontId="70" fillId="0" borderId="76" xfId="112" applyFont="1" applyBorder="1" applyAlignment="1">
      <alignment vertical="center" wrapText="1"/>
    </xf>
    <xf numFmtId="0" fontId="9" fillId="0" borderId="0" xfId="112" applyFont="1"/>
    <xf numFmtId="0" fontId="72" fillId="0" borderId="74" xfId="112" applyFont="1" applyBorder="1" applyAlignment="1">
      <alignment horizontal="left" vertical="center"/>
    </xf>
    <xf numFmtId="0" fontId="72" fillId="33" borderId="75" xfId="112" applyFont="1" applyFill="1" applyBorder="1" applyAlignment="1" applyProtection="1">
      <alignment horizontal="left" vertical="center"/>
      <protection locked="0"/>
    </xf>
    <xf numFmtId="0" fontId="72" fillId="0" borderId="75" xfId="112" applyFont="1" applyBorder="1" applyAlignment="1">
      <alignment horizontal="left" vertical="center" wrapText="1" indent="1"/>
    </xf>
    <xf numFmtId="0" fontId="72" fillId="0" borderId="75" xfId="112" applyFont="1" applyBorder="1" applyAlignment="1" applyProtection="1">
      <alignment horizontal="left" vertical="center"/>
      <protection locked="0"/>
    </xf>
    <xf numFmtId="0" fontId="72" fillId="0" borderId="75" xfId="112" applyFont="1" applyBorder="1" applyAlignment="1">
      <alignment horizontal="left" vertical="center" wrapText="1" indent="2"/>
    </xf>
    <xf numFmtId="0" fontId="72" fillId="0" borderId="75" xfId="112" applyFont="1" applyBorder="1" applyAlignment="1">
      <alignment horizontal="left" vertical="center" wrapText="1" indent="3"/>
    </xf>
    <xf numFmtId="0" fontId="72" fillId="0" borderId="75" xfId="112" applyFont="1" applyBorder="1" applyAlignment="1">
      <alignment horizontal="left" vertical="center" wrapText="1" indent="4"/>
    </xf>
    <xf numFmtId="0" fontId="72" fillId="0" borderId="74" xfId="112" applyFont="1" applyBorder="1" applyAlignment="1" applyProtection="1">
      <alignment horizontal="left" vertical="center"/>
      <protection locked="0"/>
    </xf>
    <xf numFmtId="0" fontId="72" fillId="0" borderId="76" xfId="112" applyFont="1" applyBorder="1" applyAlignment="1" applyProtection="1">
      <alignment horizontal="left" vertical="center" wrapText="1" indent="1"/>
      <protection locked="0"/>
    </xf>
    <xf numFmtId="0" fontId="72" fillId="0" borderId="75" xfId="112" quotePrefix="1" applyFont="1" applyBorder="1" applyAlignment="1">
      <alignment horizontal="left" vertical="center" wrapText="1" indent="2"/>
    </xf>
    <xf numFmtId="0" fontId="72" fillId="0" borderId="75" xfId="112" quotePrefix="1" applyFont="1" applyBorder="1" applyAlignment="1">
      <alignment horizontal="left" vertical="center" wrapText="1" indent="3"/>
    </xf>
    <xf numFmtId="0" fontId="70" fillId="0" borderId="76" xfId="112" applyFont="1" applyBorder="1" applyAlignment="1">
      <alignment horizontal="left" vertical="center" wrapText="1"/>
    </xf>
    <xf numFmtId="0" fontId="72" fillId="0" borderId="80" xfId="112" applyFont="1" applyBorder="1" applyAlignment="1">
      <alignment horizontal="left" vertical="center"/>
    </xf>
    <xf numFmtId="0" fontId="72" fillId="0" borderId="81" xfId="112" applyFont="1" applyBorder="1" applyAlignment="1" applyProtection="1">
      <alignment horizontal="left" vertical="center"/>
      <protection locked="0"/>
    </xf>
    <xf numFmtId="0" fontId="72" fillId="0" borderId="81" xfId="112" applyFont="1" applyBorder="1" applyAlignment="1">
      <alignment horizontal="left" vertical="center" wrapText="1" indent="1"/>
    </xf>
    <xf numFmtId="0" fontId="63" fillId="0" borderId="0" xfId="112" applyFont="1" applyBorder="1" applyAlignment="1" applyProtection="1">
      <alignment vertical="center"/>
      <protection locked="0"/>
    </xf>
    <xf numFmtId="0" fontId="74" fillId="0" borderId="0" xfId="112" applyFont="1" applyBorder="1" applyAlignment="1" applyProtection="1">
      <alignment vertical="center"/>
      <protection locked="0"/>
    </xf>
    <xf numFmtId="0" fontId="67" fillId="0" borderId="0" xfId="112" applyFont="1" applyBorder="1" applyAlignment="1" applyProtection="1">
      <alignment vertical="center"/>
      <protection locked="0"/>
    </xf>
    <xf numFmtId="0" fontId="75" fillId="0" borderId="0" xfId="112" applyFont="1" applyBorder="1" applyAlignment="1" applyProtection="1">
      <alignment vertical="center"/>
      <protection locked="0"/>
    </xf>
    <xf numFmtId="0" fontId="76" fillId="0" borderId="0" xfId="112" applyFont="1" applyBorder="1" applyAlignment="1" applyProtection="1">
      <alignment vertical="center" wrapText="1"/>
      <protection locked="0"/>
    </xf>
    <xf numFmtId="0" fontId="76" fillId="0" borderId="0" xfId="112" applyFont="1" applyBorder="1" applyAlignment="1" applyProtection="1">
      <alignment vertical="center"/>
      <protection locked="0"/>
    </xf>
    <xf numFmtId="0" fontId="77" fillId="0" borderId="0" xfId="112" applyFont="1" applyBorder="1" applyAlignment="1" applyProtection="1">
      <alignment horizontal="left" vertical="center"/>
      <protection locked="0"/>
    </xf>
    <xf numFmtId="0" fontId="76" fillId="0" borderId="0" xfId="112" applyFont="1" applyBorder="1" applyAlignment="1" applyProtection="1">
      <alignment horizontal="left" vertical="center" wrapText="1"/>
      <protection locked="0"/>
    </xf>
    <xf numFmtId="0" fontId="78" fillId="0" borderId="0" xfId="112" applyFont="1" applyFill="1" applyBorder="1" applyAlignment="1" applyProtection="1">
      <alignment horizontal="left" vertical="center"/>
      <protection locked="0"/>
    </xf>
    <xf numFmtId="0" fontId="78" fillId="59" borderId="0" xfId="112" applyFont="1" applyFill="1" applyBorder="1" applyAlignment="1" applyProtection="1">
      <alignment horizontal="left" vertical="center" wrapText="1"/>
      <protection locked="0"/>
    </xf>
    <xf numFmtId="0" fontId="78" fillId="60" borderId="0" xfId="112" applyFont="1" applyFill="1" applyBorder="1" applyAlignment="1" applyProtection="1">
      <alignment horizontal="left" vertical="center" wrapText="1"/>
      <protection locked="0"/>
    </xf>
    <xf numFmtId="0" fontId="78" fillId="33" borderId="0" xfId="112" applyFont="1" applyFill="1" applyBorder="1" applyAlignment="1" applyProtection="1">
      <alignment horizontal="left" vertical="center" wrapText="1"/>
      <protection locked="0"/>
    </xf>
    <xf numFmtId="0" fontId="78" fillId="0" borderId="67" xfId="112" applyFont="1" applyFill="1" applyBorder="1" applyAlignment="1" applyProtection="1">
      <alignment vertical="center"/>
      <protection locked="0"/>
    </xf>
    <xf numFmtId="0" fontId="79" fillId="0" borderId="67" xfId="112" applyFont="1" applyFill="1" applyBorder="1" applyAlignment="1" applyProtection="1">
      <alignment vertical="center"/>
      <protection locked="0"/>
    </xf>
    <xf numFmtId="0" fontId="78" fillId="59" borderId="70" xfId="112" applyFont="1" applyFill="1" applyBorder="1" applyAlignment="1">
      <alignment horizontal="left" vertical="center" wrapText="1"/>
    </xf>
    <xf numFmtId="0" fontId="78" fillId="58" borderId="68" xfId="112" applyFont="1" applyFill="1" applyBorder="1" applyAlignment="1">
      <alignment horizontal="center" vertical="center" wrapText="1"/>
    </xf>
    <xf numFmtId="0" fontId="78" fillId="58" borderId="71" xfId="112" applyFont="1" applyFill="1" applyBorder="1" applyAlignment="1">
      <alignment horizontal="center" vertical="center" wrapText="1"/>
    </xf>
    <xf numFmtId="0" fontId="78" fillId="58" borderId="72" xfId="112" applyFont="1" applyFill="1" applyBorder="1" applyAlignment="1">
      <alignment horizontal="center" vertical="center" wrapText="1"/>
    </xf>
    <xf numFmtId="0" fontId="63" fillId="0" borderId="73" xfId="112" applyFont="1" applyBorder="1" applyAlignment="1">
      <alignment horizontal="center" vertical="center"/>
    </xf>
    <xf numFmtId="0" fontId="63" fillId="0" borderId="71" xfId="112" applyFont="1" applyBorder="1" applyAlignment="1">
      <alignment horizontal="center" vertical="center"/>
    </xf>
    <xf numFmtId="0" fontId="63" fillId="0" borderId="72" xfId="112" applyFont="1" applyBorder="1" applyAlignment="1">
      <alignment horizontal="center" vertical="center"/>
    </xf>
    <xf numFmtId="0" fontId="78" fillId="59" borderId="76" xfId="112" applyFont="1" applyFill="1" applyBorder="1" applyAlignment="1">
      <alignment horizontal="left" vertical="center" wrapText="1"/>
    </xf>
    <xf numFmtId="0" fontId="78" fillId="58" borderId="74" xfId="112" applyFont="1" applyFill="1" applyBorder="1" applyAlignment="1">
      <alignment horizontal="center" vertical="center" wrapText="1"/>
    </xf>
    <xf numFmtId="0" fontId="78" fillId="58" borderId="77" xfId="112" applyFont="1" applyFill="1" applyBorder="1" applyAlignment="1">
      <alignment horizontal="center" vertical="center" wrapText="1"/>
    </xf>
    <xf numFmtId="0" fontId="78" fillId="58" borderId="78" xfId="112" applyFont="1" applyFill="1" applyBorder="1" applyAlignment="1">
      <alignment horizontal="center" vertical="center" wrapText="1"/>
    </xf>
    <xf numFmtId="0" fontId="63" fillId="0" borderId="79" xfId="112" applyFont="1" applyBorder="1" applyAlignment="1">
      <alignment horizontal="center" vertical="center"/>
    </xf>
    <xf numFmtId="0" fontId="63" fillId="0" borderId="77" xfId="112" applyFont="1" applyBorder="1" applyAlignment="1">
      <alignment horizontal="center" vertical="center"/>
    </xf>
    <xf numFmtId="0" fontId="63" fillId="0" borderId="78" xfId="112" applyFont="1" applyBorder="1" applyAlignment="1">
      <alignment horizontal="center" vertical="center"/>
    </xf>
    <xf numFmtId="0" fontId="78" fillId="60" borderId="76" xfId="112" applyFont="1" applyFill="1" applyBorder="1" applyAlignment="1">
      <alignment horizontal="left" vertical="center" wrapText="1"/>
    </xf>
    <xf numFmtId="165" fontId="82" fillId="0" borderId="79" xfId="112" applyNumberFormat="1" applyFont="1" applyFill="1" applyBorder="1" applyAlignment="1">
      <alignment horizontal="center" vertical="center"/>
    </xf>
    <xf numFmtId="165" fontId="82" fillId="0" borderId="77" xfId="112" applyNumberFormat="1" applyFont="1" applyFill="1" applyBorder="1" applyAlignment="1">
      <alignment horizontal="center" vertical="center"/>
    </xf>
    <xf numFmtId="165" fontId="82" fillId="0" borderId="78" xfId="112" applyNumberFormat="1" applyFont="1" applyFill="1" applyBorder="1" applyAlignment="1">
      <alignment horizontal="center" vertical="center"/>
    </xf>
    <xf numFmtId="0" fontId="78" fillId="58" borderId="74" xfId="112" applyFont="1" applyFill="1" applyBorder="1" applyAlignment="1">
      <alignment horizontal="center" vertical="center"/>
    </xf>
    <xf numFmtId="0" fontId="78" fillId="33" borderId="76" xfId="112" applyFont="1" applyFill="1" applyBorder="1" applyAlignment="1">
      <alignment horizontal="left" vertical="center" wrapText="1"/>
    </xf>
    <xf numFmtId="0" fontId="82" fillId="0" borderId="79" xfId="112" applyNumberFormat="1" applyFont="1" applyFill="1" applyBorder="1" applyAlignment="1">
      <alignment horizontal="center" vertical="center"/>
    </xf>
    <xf numFmtId="0" fontId="82" fillId="0" borderId="77" xfId="112" applyNumberFormat="1" applyFont="1" applyFill="1" applyBorder="1" applyAlignment="1">
      <alignment horizontal="center" vertical="center"/>
    </xf>
    <xf numFmtId="0" fontId="82" fillId="0" borderId="78" xfId="112" applyNumberFormat="1" applyFont="1" applyFill="1" applyBorder="1" applyAlignment="1">
      <alignment horizontal="center" vertical="center"/>
    </xf>
    <xf numFmtId="0" fontId="78" fillId="33" borderId="88" xfId="112" applyFont="1" applyFill="1" applyBorder="1" applyAlignment="1">
      <alignment horizontal="left" vertical="center" wrapText="1"/>
    </xf>
    <xf numFmtId="0" fontId="78" fillId="58" borderId="80" xfId="112" applyFont="1" applyFill="1" applyBorder="1" applyAlignment="1">
      <alignment horizontal="center" vertical="center" wrapText="1"/>
    </xf>
    <xf numFmtId="0" fontId="78" fillId="58" borderId="82" xfId="112" applyFont="1" applyFill="1" applyBorder="1" applyAlignment="1">
      <alignment horizontal="center" vertical="center" wrapText="1"/>
    </xf>
    <xf numFmtId="0" fontId="78" fillId="58" borderId="83" xfId="112" applyFont="1" applyFill="1" applyBorder="1" applyAlignment="1">
      <alignment horizontal="center" vertical="center" wrapText="1"/>
    </xf>
    <xf numFmtId="0" fontId="63" fillId="0" borderId="84" xfId="112" applyFont="1" applyBorder="1" applyAlignment="1">
      <alignment horizontal="center" vertical="center"/>
    </xf>
    <xf numFmtId="0" fontId="63" fillId="0" borderId="82" xfId="112" applyFont="1" applyBorder="1" applyAlignment="1">
      <alignment horizontal="center" vertical="center"/>
    </xf>
    <xf numFmtId="0" fontId="63" fillId="0" borderId="83" xfId="112" applyFont="1" applyBorder="1" applyAlignment="1">
      <alignment horizontal="center" vertical="center"/>
    </xf>
    <xf numFmtId="0" fontId="76" fillId="0" borderId="0" xfId="112" applyFont="1" applyBorder="1" applyAlignment="1">
      <alignment horizontal="center" vertical="center"/>
    </xf>
    <xf numFmtId="0" fontId="76" fillId="0" borderId="0" xfId="112" applyFont="1" applyBorder="1" applyAlignment="1">
      <alignment vertical="center" wrapText="1"/>
    </xf>
    <xf numFmtId="0" fontId="63" fillId="0" borderId="0" xfId="112" applyFont="1" applyBorder="1" applyAlignment="1">
      <alignment vertical="center"/>
    </xf>
    <xf numFmtId="0" fontId="84" fillId="0" borderId="0" xfId="112" applyFont="1"/>
    <xf numFmtId="0" fontId="84" fillId="0" borderId="0" xfId="112" applyFont="1" applyAlignment="1"/>
    <xf numFmtId="0" fontId="73" fillId="61" borderId="85" xfId="112" applyFont="1" applyFill="1" applyBorder="1" applyAlignment="1">
      <alignment vertical="center"/>
    </xf>
    <xf numFmtId="4" fontId="73" fillId="58" borderId="68" xfId="112" applyNumberFormat="1" applyFont="1" applyFill="1" applyBorder="1" applyAlignment="1">
      <alignment vertical="center"/>
    </xf>
    <xf numFmtId="4" fontId="73" fillId="58" borderId="71" xfId="112" applyNumberFormat="1" applyFont="1" applyFill="1" applyBorder="1" applyAlignment="1">
      <alignment vertical="center"/>
    </xf>
    <xf numFmtId="4" fontId="73" fillId="58" borderId="72" xfId="112" applyNumberFormat="1" applyFont="1" applyFill="1" applyBorder="1" applyAlignment="1">
      <alignment vertical="center"/>
    </xf>
    <xf numFmtId="4" fontId="73" fillId="0" borderId="73" xfId="112" applyNumberFormat="1" applyFont="1" applyBorder="1" applyAlignment="1">
      <alignment vertical="center"/>
    </xf>
    <xf numFmtId="4" fontId="73" fillId="0" borderId="71" xfId="112" applyNumberFormat="1" applyFont="1" applyBorder="1" applyAlignment="1">
      <alignment vertical="center"/>
    </xf>
    <xf numFmtId="4" fontId="73" fillId="0" borderId="72" xfId="112" applyNumberFormat="1" applyFont="1" applyBorder="1" applyAlignment="1">
      <alignment vertical="center"/>
    </xf>
    <xf numFmtId="0" fontId="73" fillId="61" borderId="86" xfId="112" applyFont="1" applyFill="1" applyBorder="1" applyAlignment="1">
      <alignment vertical="center"/>
    </xf>
    <xf numFmtId="4" fontId="73" fillId="58" borderId="74" xfId="112" applyNumberFormat="1" applyFont="1" applyFill="1" applyBorder="1" applyAlignment="1">
      <alignment vertical="center"/>
    </xf>
    <xf numFmtId="4" fontId="73" fillId="58" borderId="77" xfId="112" applyNumberFormat="1" applyFont="1" applyFill="1" applyBorder="1" applyAlignment="1">
      <alignment vertical="center"/>
    </xf>
    <xf numFmtId="4" fontId="73" fillId="58" borderId="78" xfId="112" applyNumberFormat="1" applyFont="1" applyFill="1" applyBorder="1" applyAlignment="1">
      <alignment vertical="center"/>
    </xf>
    <xf numFmtId="4" fontId="73" fillId="0" borderId="79" xfId="112" applyNumberFormat="1" applyFont="1" applyBorder="1" applyAlignment="1">
      <alignment vertical="center"/>
    </xf>
    <xf numFmtId="4" fontId="73" fillId="0" borderId="77" xfId="112" applyNumberFormat="1" applyFont="1" applyBorder="1" applyAlignment="1">
      <alignment vertical="center"/>
    </xf>
    <xf numFmtId="4" fontId="73" fillId="0" borderId="78" xfId="112" applyNumberFormat="1" applyFont="1" applyBorder="1" applyAlignment="1">
      <alignment vertical="center"/>
    </xf>
    <xf numFmtId="0" fontId="85" fillId="61" borderId="86" xfId="112" applyFont="1" applyFill="1" applyBorder="1" applyAlignment="1">
      <alignment horizontal="left" vertical="center" wrapText="1"/>
    </xf>
    <xf numFmtId="4" fontId="73" fillId="58" borderId="74" xfId="112" applyNumberFormat="1" applyFont="1" applyFill="1" applyBorder="1" applyAlignment="1">
      <alignment horizontal="center" vertical="center"/>
    </xf>
    <xf numFmtId="4" fontId="73" fillId="58" borderId="77" xfId="112" applyNumberFormat="1" applyFont="1" applyFill="1" applyBorder="1" applyAlignment="1">
      <alignment horizontal="center" vertical="center"/>
    </xf>
    <xf numFmtId="0" fontId="85" fillId="61" borderId="87" xfId="112" applyFont="1" applyFill="1" applyBorder="1" applyAlignment="1">
      <alignment horizontal="left" vertical="center" wrapText="1"/>
    </xf>
    <xf numFmtId="4" fontId="73" fillId="58" borderId="80" xfId="112" applyNumberFormat="1" applyFont="1" applyFill="1" applyBorder="1" applyAlignment="1">
      <alignment horizontal="center" vertical="center"/>
    </xf>
    <xf numFmtId="4" fontId="73" fillId="58" borderId="82" xfId="112" applyNumberFormat="1" applyFont="1" applyFill="1" applyBorder="1" applyAlignment="1">
      <alignment vertical="center"/>
    </xf>
    <xf numFmtId="4" fontId="73" fillId="58" borderId="82" xfId="112" applyNumberFormat="1" applyFont="1" applyFill="1" applyBorder="1" applyAlignment="1">
      <alignment horizontal="center" vertical="center"/>
    </xf>
    <xf numFmtId="4" fontId="73" fillId="58" borderId="83" xfId="112" applyNumberFormat="1" applyFont="1" applyFill="1" applyBorder="1" applyAlignment="1">
      <alignment vertical="center"/>
    </xf>
    <xf numFmtId="4" fontId="73" fillId="0" borderId="84" xfId="112" applyNumberFormat="1" applyFont="1" applyBorder="1" applyAlignment="1">
      <alignment vertical="center"/>
    </xf>
    <xf numFmtId="4" fontId="73" fillId="0" borderId="82" xfId="112" applyNumberFormat="1" applyFont="1" applyBorder="1" applyAlignment="1">
      <alignment vertical="center"/>
    </xf>
    <xf numFmtId="4" fontId="73" fillId="0" borderId="83" xfId="112" applyNumberFormat="1" applyFont="1" applyBorder="1" applyAlignment="1">
      <alignment vertical="center"/>
    </xf>
    <xf numFmtId="0" fontId="63" fillId="0" borderId="0" xfId="112" applyFont="1" applyFill="1"/>
    <xf numFmtId="0" fontId="68" fillId="0" borderId="0" xfId="112" applyFont="1"/>
    <xf numFmtId="0" fontId="74" fillId="0" borderId="0" xfId="112" applyFont="1" applyFill="1"/>
    <xf numFmtId="0" fontId="66" fillId="0" borderId="0" xfId="112" applyFont="1"/>
    <xf numFmtId="0" fontId="64" fillId="0" borderId="0" xfId="112" applyFont="1" applyFill="1"/>
    <xf numFmtId="0" fontId="86" fillId="0" borderId="0" xfId="112" applyFont="1" applyAlignment="1">
      <alignment vertical="center"/>
    </xf>
    <xf numFmtId="0" fontId="63" fillId="0" borderId="0" xfId="112" applyFont="1" applyAlignment="1">
      <alignment vertical="center"/>
    </xf>
    <xf numFmtId="0" fontId="73" fillId="0" borderId="10" xfId="112" applyFont="1" applyBorder="1"/>
    <xf numFmtId="10" fontId="73" fillId="58" borderId="68" xfId="112" applyNumberFormat="1" applyFont="1" applyFill="1" applyBorder="1" applyAlignment="1">
      <alignment horizontal="center" vertical="center"/>
    </xf>
    <xf numFmtId="10" fontId="73" fillId="58" borderId="71" xfId="112" applyNumberFormat="1" applyFont="1" applyFill="1" applyBorder="1" applyAlignment="1">
      <alignment horizontal="center" vertical="center"/>
    </xf>
    <xf numFmtId="10" fontId="73" fillId="58" borderId="72" xfId="112" applyNumberFormat="1" applyFont="1" applyFill="1" applyBorder="1" applyAlignment="1">
      <alignment horizontal="center" vertical="center"/>
    </xf>
    <xf numFmtId="10" fontId="73" fillId="0" borderId="73" xfId="112" applyNumberFormat="1" applyFont="1" applyFill="1" applyBorder="1" applyAlignment="1">
      <alignment vertical="center"/>
    </xf>
    <xf numFmtId="10" fontId="73" fillId="0" borderId="71" xfId="112" applyNumberFormat="1" applyFont="1" applyFill="1" applyBorder="1" applyAlignment="1">
      <alignment vertical="center"/>
    </xf>
    <xf numFmtId="10" fontId="73" fillId="0" borderId="72" xfId="112" applyNumberFormat="1" applyFont="1" applyFill="1" applyBorder="1" applyAlignment="1">
      <alignment vertical="center"/>
    </xf>
    <xf numFmtId="0" fontId="73" fillId="0" borderId="11" xfId="112" applyFont="1" applyBorder="1"/>
    <xf numFmtId="10" fontId="73" fillId="58" borderId="80" xfId="112" applyNumberFormat="1" applyFont="1" applyFill="1" applyBorder="1" applyAlignment="1">
      <alignment horizontal="center" vertical="center"/>
    </xf>
    <xf numFmtId="10" fontId="73" fillId="58" borderId="82" xfId="112" applyNumberFormat="1" applyFont="1" applyFill="1" applyBorder="1" applyAlignment="1">
      <alignment horizontal="center" vertical="center"/>
    </xf>
    <xf numFmtId="10" fontId="73" fillId="58" borderId="83" xfId="112" applyNumberFormat="1" applyFont="1" applyFill="1" applyBorder="1" applyAlignment="1">
      <alignment horizontal="center" vertical="center"/>
    </xf>
    <xf numFmtId="10" fontId="73" fillId="0" borderId="84" xfId="112" applyNumberFormat="1" applyFont="1" applyFill="1" applyBorder="1" applyAlignment="1">
      <alignment vertical="center"/>
    </xf>
    <xf numFmtId="10" fontId="73" fillId="0" borderId="82" xfId="112" applyNumberFormat="1" applyFont="1" applyFill="1" applyBorder="1" applyAlignment="1">
      <alignment vertical="center"/>
    </xf>
    <xf numFmtId="10" fontId="73" fillId="0" borderId="83" xfId="112" applyNumberFormat="1" applyFont="1" applyFill="1" applyBorder="1" applyAlignment="1">
      <alignment vertical="center"/>
    </xf>
    <xf numFmtId="0" fontId="71" fillId="0" borderId="0" xfId="112" applyFont="1"/>
    <xf numFmtId="0" fontId="71" fillId="0" borderId="0" xfId="112" applyFont="1" applyAlignment="1"/>
    <xf numFmtId="0" fontId="71" fillId="0" borderId="10" xfId="112" applyFont="1" applyBorder="1" applyAlignment="1">
      <alignment vertical="center"/>
    </xf>
    <xf numFmtId="167" fontId="71" fillId="58" borderId="68" xfId="112" applyNumberFormat="1" applyFont="1" applyFill="1" applyBorder="1" applyAlignment="1">
      <alignment horizontal="center" vertical="center"/>
    </xf>
    <xf numFmtId="167" fontId="71" fillId="58" borderId="71" xfId="112" applyNumberFormat="1" applyFont="1" applyFill="1" applyBorder="1" applyAlignment="1">
      <alignment horizontal="right" vertical="center"/>
    </xf>
    <xf numFmtId="167" fontId="71" fillId="58" borderId="72" xfId="112" applyNumberFormat="1" applyFont="1" applyFill="1" applyBorder="1" applyAlignment="1">
      <alignment horizontal="right" vertical="center"/>
    </xf>
    <xf numFmtId="0" fontId="87" fillId="0" borderId="0" xfId="112" applyFont="1"/>
    <xf numFmtId="0" fontId="73" fillId="0" borderId="0" xfId="112" applyFont="1"/>
    <xf numFmtId="0" fontId="73" fillId="0" borderId="0" xfId="112" applyFont="1" applyAlignment="1"/>
    <xf numFmtId="0" fontId="73" fillId="0" borderId="89" xfId="112" applyFont="1" applyBorder="1" applyAlignment="1">
      <alignment horizontal="left" vertical="center" indent="1"/>
    </xf>
    <xf numFmtId="167" fontId="73" fillId="58" borderId="74" xfId="112" applyNumberFormat="1" applyFont="1" applyFill="1" applyBorder="1" applyAlignment="1">
      <alignment horizontal="center" vertical="center"/>
    </xf>
    <xf numFmtId="167" fontId="73" fillId="58" borderId="77" xfId="112" applyNumberFormat="1" applyFont="1" applyFill="1" applyBorder="1" applyAlignment="1">
      <alignment horizontal="right" vertical="center"/>
    </xf>
    <xf numFmtId="167" fontId="73" fillId="58" borderId="78" xfId="112" applyNumberFormat="1" applyFont="1" applyFill="1" applyBorder="1" applyAlignment="1">
      <alignment horizontal="right" vertical="center"/>
    </xf>
    <xf numFmtId="0" fontId="73" fillId="0" borderId="89" xfId="112" applyFont="1" applyBorder="1" applyAlignment="1">
      <alignment horizontal="left" vertical="center" wrapText="1" indent="2"/>
    </xf>
    <xf numFmtId="167" fontId="73" fillId="58" borderId="74" xfId="112" applyNumberFormat="1" applyFont="1" applyFill="1" applyBorder="1" applyAlignment="1">
      <alignment horizontal="center" vertical="center" wrapText="1"/>
    </xf>
    <xf numFmtId="167" fontId="73" fillId="58" borderId="77" xfId="112" applyNumberFormat="1" applyFont="1" applyFill="1" applyBorder="1" applyAlignment="1">
      <alignment horizontal="right" vertical="center" wrapText="1"/>
    </xf>
    <xf numFmtId="167" fontId="73" fillId="58" borderId="78" xfId="112" applyNumberFormat="1" applyFont="1" applyFill="1" applyBorder="1" applyAlignment="1">
      <alignment horizontal="right" vertical="center" wrapText="1"/>
    </xf>
    <xf numFmtId="0" fontId="73" fillId="0" borderId="11" xfId="112" applyFont="1" applyBorder="1" applyAlignment="1">
      <alignment horizontal="left" vertical="center" wrapText="1" indent="2"/>
    </xf>
    <xf numFmtId="167" fontId="73" fillId="58" borderId="90" xfId="112" applyNumberFormat="1" applyFont="1" applyFill="1" applyBorder="1" applyAlignment="1">
      <alignment horizontal="center" vertical="center" wrapText="1"/>
    </xf>
    <xf numFmtId="167" fontId="73" fillId="58" borderId="91" xfId="112" applyNumberFormat="1" applyFont="1" applyFill="1" applyBorder="1" applyAlignment="1">
      <alignment horizontal="right" vertical="center" wrapText="1"/>
    </xf>
    <xf numFmtId="167" fontId="73" fillId="58" borderId="92" xfId="112" applyNumberFormat="1" applyFont="1" applyFill="1" applyBorder="1" applyAlignment="1">
      <alignment horizontal="right" vertical="center" wrapText="1"/>
    </xf>
    <xf numFmtId="0" fontId="73" fillId="0" borderId="89" xfId="112" applyFont="1" applyBorder="1" applyAlignment="1">
      <alignment horizontal="left" vertical="center" wrapText="1" indent="1"/>
    </xf>
    <xf numFmtId="0" fontId="71" fillId="0" borderId="89" xfId="112" applyFont="1" applyBorder="1" applyAlignment="1">
      <alignment horizontal="left" vertical="center" indent="1"/>
    </xf>
    <xf numFmtId="167" fontId="71" fillId="58" borderId="74" xfId="112" applyNumberFormat="1" applyFont="1" applyFill="1" applyBorder="1" applyAlignment="1">
      <alignment horizontal="center" vertical="center"/>
    </xf>
    <xf numFmtId="167" fontId="71" fillId="58" borderId="77" xfId="112" applyNumberFormat="1" applyFont="1" applyFill="1" applyBorder="1" applyAlignment="1">
      <alignment horizontal="right" vertical="center"/>
    </xf>
    <xf numFmtId="167" fontId="71" fillId="58" borderId="78" xfId="112" applyNumberFormat="1" applyFont="1" applyFill="1" applyBorder="1" applyAlignment="1">
      <alignment horizontal="right" vertical="center"/>
    </xf>
    <xf numFmtId="167" fontId="73" fillId="58" borderId="80" xfId="112" applyNumberFormat="1" applyFont="1" applyFill="1" applyBorder="1" applyAlignment="1">
      <alignment horizontal="center" vertical="center" wrapText="1"/>
    </xf>
    <xf numFmtId="167" fontId="73" fillId="58" borderId="82" xfId="112" applyNumberFormat="1" applyFont="1" applyFill="1" applyBorder="1" applyAlignment="1">
      <alignment horizontal="right" vertical="center" wrapText="1"/>
    </xf>
    <xf numFmtId="167" fontId="73" fillId="58" borderId="83" xfId="112" applyNumberFormat="1" applyFont="1" applyFill="1" applyBorder="1" applyAlignment="1">
      <alignment horizontal="right" vertical="center" wrapText="1"/>
    </xf>
    <xf numFmtId="0" fontId="88" fillId="0" borderId="0" xfId="112" applyFont="1" applyFill="1"/>
    <xf numFmtId="0" fontId="71" fillId="0" borderId="0" xfId="112" applyFont="1" applyFill="1" applyAlignment="1">
      <alignment horizontal="center" vertical="center" wrapText="1"/>
    </xf>
    <xf numFmtId="0" fontId="73" fillId="0" borderId="0" xfId="112" applyFont="1" applyAlignment="1">
      <alignment vertical="center"/>
    </xf>
    <xf numFmtId="165" fontId="71" fillId="58" borderId="68" xfId="112" applyNumberFormat="1" applyFont="1" applyFill="1" applyBorder="1" applyAlignment="1">
      <alignment horizontal="center" vertical="center"/>
    </xf>
    <xf numFmtId="165" fontId="71" fillId="58" borderId="71" xfId="112" applyNumberFormat="1" applyFont="1" applyFill="1" applyBorder="1" applyAlignment="1">
      <alignment horizontal="right" vertical="center"/>
    </xf>
    <xf numFmtId="165" fontId="71" fillId="58" borderId="72" xfId="112" applyNumberFormat="1" applyFont="1" applyFill="1" applyBorder="1" applyAlignment="1">
      <alignment horizontal="right" vertical="center"/>
    </xf>
    <xf numFmtId="165" fontId="71" fillId="0" borderId="73" xfId="112" applyNumberFormat="1" applyFont="1" applyBorder="1" applyAlignment="1">
      <alignment vertical="center"/>
    </xf>
    <xf numFmtId="165" fontId="71" fillId="0" borderId="71" xfId="112" applyNumberFormat="1" applyFont="1" applyBorder="1" applyAlignment="1">
      <alignment vertical="center"/>
    </xf>
    <xf numFmtId="165" fontId="71" fillId="0" borderId="72" xfId="112" applyNumberFormat="1" applyFont="1" applyBorder="1" applyAlignment="1">
      <alignment vertical="center"/>
    </xf>
    <xf numFmtId="165" fontId="73" fillId="58" borderId="74" xfId="112" applyNumberFormat="1" applyFont="1" applyFill="1" applyBorder="1" applyAlignment="1">
      <alignment horizontal="center" vertical="center"/>
    </xf>
    <xf numFmtId="165" fontId="73" fillId="58" borderId="77" xfId="112" applyNumberFormat="1" applyFont="1" applyFill="1" applyBorder="1" applyAlignment="1">
      <alignment horizontal="right" vertical="center"/>
    </xf>
    <xf numFmtId="165" fontId="73" fillId="58" borderId="78" xfId="112" applyNumberFormat="1" applyFont="1" applyFill="1" applyBorder="1" applyAlignment="1">
      <alignment horizontal="right" vertical="center"/>
    </xf>
    <xf numFmtId="165" fontId="73" fillId="0" borderId="79" xfId="112" applyNumberFormat="1" applyFont="1" applyBorder="1" applyAlignment="1">
      <alignment vertical="center"/>
    </xf>
    <xf numFmtId="165" fontId="73" fillId="0" borderId="77" xfId="112" applyNumberFormat="1" applyFont="1" applyBorder="1" applyAlignment="1">
      <alignment vertical="center"/>
    </xf>
    <xf numFmtId="165" fontId="73" fillId="0" borderId="78" xfId="112" applyNumberFormat="1" applyFont="1" applyBorder="1" applyAlignment="1">
      <alignment vertical="center"/>
    </xf>
    <xf numFmtId="165" fontId="73" fillId="58" borderId="74" xfId="112" applyNumberFormat="1" applyFont="1" applyFill="1" applyBorder="1" applyAlignment="1">
      <alignment horizontal="center" vertical="center" wrapText="1"/>
    </xf>
    <xf numFmtId="165" fontId="73" fillId="58" borderId="77" xfId="112" applyNumberFormat="1" applyFont="1" applyFill="1" applyBorder="1" applyAlignment="1">
      <alignment horizontal="right" vertical="center" wrapText="1"/>
    </xf>
    <xf numFmtId="165" fontId="73" fillId="58" borderId="78" xfId="112" applyNumberFormat="1" applyFont="1" applyFill="1" applyBorder="1" applyAlignment="1">
      <alignment horizontal="right" vertical="center" wrapText="1"/>
    </xf>
    <xf numFmtId="165" fontId="73" fillId="58" borderId="80" xfId="112" applyNumberFormat="1" applyFont="1" applyFill="1" applyBorder="1" applyAlignment="1">
      <alignment horizontal="center" vertical="center" wrapText="1"/>
    </xf>
    <xf numFmtId="165" fontId="73" fillId="58" borderId="82" xfId="112" applyNumberFormat="1" applyFont="1" applyFill="1" applyBorder="1" applyAlignment="1">
      <alignment horizontal="right" vertical="center" wrapText="1"/>
    </xf>
    <xf numFmtId="165" fontId="73" fillId="58" borderId="83" xfId="112" applyNumberFormat="1" applyFont="1" applyFill="1" applyBorder="1" applyAlignment="1">
      <alignment horizontal="right" vertical="center" wrapText="1"/>
    </xf>
    <xf numFmtId="165" fontId="73" fillId="0" borderId="84" xfId="112" applyNumberFormat="1" applyFont="1" applyBorder="1" applyAlignment="1">
      <alignment vertical="center"/>
    </xf>
    <xf numFmtId="165" fontId="73" fillId="0" borderId="82" xfId="112" applyNumberFormat="1" applyFont="1" applyBorder="1" applyAlignment="1">
      <alignment vertical="center"/>
    </xf>
    <xf numFmtId="165" fontId="73" fillId="0" borderId="83" xfId="112" applyNumberFormat="1" applyFont="1" applyBorder="1" applyAlignment="1">
      <alignment vertical="center"/>
    </xf>
    <xf numFmtId="165" fontId="71" fillId="58" borderId="74" xfId="112" applyNumberFormat="1" applyFont="1" applyFill="1" applyBorder="1" applyAlignment="1">
      <alignment horizontal="center" vertical="center"/>
    </xf>
    <xf numFmtId="165" fontId="71" fillId="58" borderId="77" xfId="112" applyNumberFormat="1" applyFont="1" applyFill="1" applyBorder="1" applyAlignment="1">
      <alignment horizontal="right" vertical="center"/>
    </xf>
    <xf numFmtId="165" fontId="71" fillId="58" borderId="78" xfId="112" applyNumberFormat="1" applyFont="1" applyFill="1" applyBorder="1" applyAlignment="1">
      <alignment horizontal="right" vertical="center"/>
    </xf>
    <xf numFmtId="165" fontId="71" fillId="0" borderId="79" xfId="112" applyNumberFormat="1" applyFont="1" applyBorder="1" applyAlignment="1">
      <alignment vertical="center"/>
    </xf>
    <xf numFmtId="165" fontId="71" fillId="0" borderId="77" xfId="112" applyNumberFormat="1" applyFont="1" applyBorder="1" applyAlignment="1">
      <alignment vertical="center"/>
    </xf>
    <xf numFmtId="165" fontId="71" fillId="0" borderId="78" xfId="112" applyNumberFormat="1" applyFont="1" applyBorder="1" applyAlignment="1">
      <alignment vertical="center"/>
    </xf>
    <xf numFmtId="165" fontId="71" fillId="58" borderId="68" xfId="112" applyNumberFormat="1" applyFont="1" applyFill="1" applyBorder="1" applyAlignment="1">
      <alignment vertical="center"/>
    </xf>
    <xf numFmtId="165" fontId="71" fillId="58" borderId="71" xfId="112" applyNumberFormat="1" applyFont="1" applyFill="1" applyBorder="1" applyAlignment="1">
      <alignment vertical="center"/>
    </xf>
    <xf numFmtId="165" fontId="71" fillId="58" borderId="72" xfId="112" applyNumberFormat="1" applyFont="1" applyFill="1" applyBorder="1" applyAlignment="1">
      <alignment vertical="center"/>
    </xf>
    <xf numFmtId="165" fontId="73" fillId="58" borderId="74" xfId="112" applyNumberFormat="1" applyFont="1" applyFill="1" applyBorder="1" applyAlignment="1">
      <alignment vertical="center"/>
    </xf>
    <xf numFmtId="165" fontId="73" fillId="58" borderId="77" xfId="112" applyNumberFormat="1" applyFont="1" applyFill="1" applyBorder="1" applyAlignment="1">
      <alignment vertical="center"/>
    </xf>
    <xf numFmtId="165" fontId="73" fillId="58" borderId="78" xfId="112" applyNumberFormat="1" applyFont="1" applyFill="1" applyBorder="1" applyAlignment="1">
      <alignment vertical="center"/>
    </xf>
    <xf numFmtId="165" fontId="73" fillId="58" borderId="80" xfId="112" applyNumberFormat="1" applyFont="1" applyFill="1" applyBorder="1" applyAlignment="1">
      <alignment vertical="center"/>
    </xf>
    <xf numFmtId="165" fontId="73" fillId="58" borderId="82" xfId="112" applyNumberFormat="1" applyFont="1" applyFill="1" applyBorder="1" applyAlignment="1">
      <alignment vertical="center"/>
    </xf>
    <xf numFmtId="165" fontId="73" fillId="58" borderId="83" xfId="112" applyNumberFormat="1" applyFont="1" applyFill="1" applyBorder="1" applyAlignment="1">
      <alignment vertical="center"/>
    </xf>
    <xf numFmtId="165" fontId="71" fillId="58" borderId="74" xfId="112" applyNumberFormat="1" applyFont="1" applyFill="1" applyBorder="1" applyAlignment="1">
      <alignment vertical="center"/>
    </xf>
    <xf numFmtId="165" fontId="71" fillId="58" borderId="77" xfId="112" applyNumberFormat="1" applyFont="1" applyFill="1" applyBorder="1" applyAlignment="1">
      <alignment vertical="center"/>
    </xf>
    <xf numFmtId="165" fontId="71" fillId="58" borderId="78" xfId="112" applyNumberFormat="1" applyFont="1" applyFill="1" applyBorder="1" applyAlignment="1">
      <alignment vertical="center"/>
    </xf>
    <xf numFmtId="0" fontId="89" fillId="0" borderId="0" xfId="112" applyFont="1" applyAlignment="1">
      <alignment horizontal="left" indent="1"/>
    </xf>
    <xf numFmtId="0" fontId="89" fillId="0" borderId="0" xfId="112" applyFont="1" applyFill="1" applyAlignment="1">
      <alignment horizontal="left" indent="1"/>
    </xf>
    <xf numFmtId="165" fontId="63" fillId="0" borderId="0" xfId="112" applyNumberFormat="1" applyFont="1"/>
    <xf numFmtId="0" fontId="65" fillId="0" borderId="0" xfId="112" applyFont="1" applyBorder="1" applyAlignment="1" applyProtection="1">
      <alignment horizontal="center" vertical="center"/>
      <protection locked="0"/>
    </xf>
    <xf numFmtId="0" fontId="90" fillId="0" borderId="0" xfId="112" applyFont="1" applyAlignment="1" applyProtection="1">
      <alignment horizontal="right"/>
      <protection locked="0"/>
    </xf>
    <xf numFmtId="0" fontId="88" fillId="0" borderId="0" xfId="112" applyFont="1" applyBorder="1" applyAlignment="1" applyProtection="1">
      <alignment horizontal="center" vertical="center"/>
      <protection locked="0"/>
    </xf>
    <xf numFmtId="0" fontId="59" fillId="0" borderId="0" xfId="104" applyFont="1" applyFill="1" applyAlignment="1">
      <alignment horizontal="left" vertical="center"/>
    </xf>
    <xf numFmtId="164" fontId="57" fillId="0" borderId="32" xfId="105" applyNumberFormat="1" applyFont="1" applyFill="1" applyBorder="1" applyAlignment="1">
      <alignment horizontal="center" vertical="center"/>
    </xf>
    <xf numFmtId="164" fontId="57" fillId="0" borderId="50" xfId="105" applyNumberFormat="1" applyFont="1" applyFill="1" applyBorder="1" applyAlignment="1">
      <alignment horizontal="center" vertical="center"/>
    </xf>
    <xf numFmtId="0" fontId="47" fillId="0" borderId="21" xfId="104" applyFont="1" applyFill="1" applyBorder="1" applyAlignment="1">
      <alignment horizontal="center" vertical="top"/>
    </xf>
    <xf numFmtId="0" fontId="47" fillId="0" borderId="28" xfId="104" applyFont="1" applyFill="1" applyBorder="1" applyAlignment="1">
      <alignment horizontal="center" vertical="top"/>
    </xf>
    <xf numFmtId="0" fontId="47" fillId="0" borderId="22" xfId="104" applyFont="1" applyFill="1" applyBorder="1" applyAlignment="1">
      <alignment horizontal="center" vertical="center" wrapText="1"/>
    </xf>
    <xf numFmtId="0" fontId="47" fillId="0" borderId="29" xfId="104" applyFont="1" applyFill="1" applyBorder="1" applyAlignment="1">
      <alignment horizontal="center" vertical="center" wrapText="1"/>
    </xf>
    <xf numFmtId="0" fontId="47" fillId="0" borderId="22" xfId="104" applyFont="1" applyFill="1" applyBorder="1" applyAlignment="1">
      <alignment horizontal="center" vertical="center"/>
    </xf>
    <xf numFmtId="0" fontId="47" fillId="0" borderId="29" xfId="104" applyFont="1" applyFill="1" applyBorder="1" applyAlignment="1">
      <alignment horizontal="center" vertical="center"/>
    </xf>
    <xf numFmtId="0" fontId="47" fillId="0" borderId="49" xfId="104" applyFont="1" applyFill="1" applyBorder="1" applyAlignment="1">
      <alignment horizontal="center" vertical="center"/>
    </xf>
    <xf numFmtId="164" fontId="57" fillId="0" borderId="27" xfId="105" applyNumberFormat="1" applyFont="1" applyFill="1" applyBorder="1" applyAlignment="1">
      <alignment horizontal="center" vertical="center"/>
    </xf>
    <xf numFmtId="0" fontId="53" fillId="56" borderId="43" xfId="104" applyFont="1" applyFill="1" applyBorder="1" applyAlignment="1">
      <alignment horizontal="left" vertical="top"/>
    </xf>
    <xf numFmtId="0" fontId="47" fillId="0" borderId="45" xfId="104" applyFont="1" applyFill="1" applyBorder="1" applyAlignment="1">
      <alignment horizontal="center" vertical="top"/>
    </xf>
    <xf numFmtId="0" fontId="47" fillId="0" borderId="53" xfId="104" applyFont="1" applyFill="1" applyBorder="1" applyAlignment="1">
      <alignment horizontal="center" vertical="center" wrapText="1"/>
    </xf>
    <xf numFmtId="0" fontId="47" fillId="0" borderId="31" xfId="104" applyFont="1" applyFill="1" applyBorder="1" applyAlignment="1">
      <alignment horizontal="center" vertical="center" wrapText="1"/>
    </xf>
    <xf numFmtId="0" fontId="47" fillId="0" borderId="54" xfId="104" applyFont="1" applyFill="1" applyBorder="1" applyAlignment="1">
      <alignment horizontal="center" vertical="center" wrapText="1"/>
    </xf>
    <xf numFmtId="0" fontId="47" fillId="0" borderId="53" xfId="104" applyFont="1" applyFill="1" applyBorder="1" applyAlignment="1">
      <alignment horizontal="center" vertical="center"/>
    </xf>
    <xf numFmtId="0" fontId="47" fillId="0" borderId="31" xfId="104" applyFont="1" applyFill="1" applyBorder="1" applyAlignment="1">
      <alignment horizontal="center" vertical="center"/>
    </xf>
    <xf numFmtId="0" fontId="47" fillId="0" borderId="54" xfId="104" applyFont="1" applyFill="1" applyBorder="1" applyAlignment="1">
      <alignment horizontal="center" vertical="center"/>
    </xf>
    <xf numFmtId="0" fontId="47" fillId="56" borderId="43" xfId="104" applyFont="1" applyFill="1" applyBorder="1" applyAlignment="1">
      <alignment horizontal="left" vertical="top" wrapText="1"/>
    </xf>
    <xf numFmtId="164" fontId="57" fillId="56" borderId="32" xfId="105" applyNumberFormat="1" applyFont="1" applyFill="1" applyBorder="1" applyAlignment="1">
      <alignment vertical="center"/>
    </xf>
    <xf numFmtId="164" fontId="57" fillId="56" borderId="60" xfId="105" applyNumberFormat="1" applyFont="1" applyFill="1" applyBorder="1" applyAlignment="1">
      <alignment vertical="center"/>
    </xf>
    <xf numFmtId="0" fontId="47" fillId="56" borderId="37" xfId="104" applyFont="1" applyFill="1" applyBorder="1" applyAlignment="1">
      <alignment horizontal="center" vertical="top"/>
    </xf>
    <xf numFmtId="0" fontId="47" fillId="56" borderId="28" xfId="104" applyFont="1" applyFill="1" applyBorder="1" applyAlignment="1">
      <alignment horizontal="center" vertical="top"/>
    </xf>
    <xf numFmtId="0" fontId="47" fillId="56" borderId="59" xfId="104" applyFont="1" applyFill="1" applyBorder="1" applyAlignment="1">
      <alignment horizontal="center" vertical="top"/>
    </xf>
    <xf numFmtId="0" fontId="47" fillId="56" borderId="30" xfId="104" applyFont="1" applyFill="1" applyBorder="1" applyAlignment="1">
      <alignment horizontal="left" vertical="top"/>
    </xf>
    <xf numFmtId="0" fontId="47" fillId="56" borderId="29" xfId="104" applyFont="1" applyFill="1" applyBorder="1" applyAlignment="1">
      <alignment horizontal="left" vertical="top"/>
    </xf>
    <xf numFmtId="0" fontId="47" fillId="56" borderId="53" xfId="104" applyFont="1" applyFill="1" applyBorder="1" applyAlignment="1">
      <alignment horizontal="left" vertical="top"/>
    </xf>
    <xf numFmtId="0" fontId="47" fillId="56" borderId="30" xfId="104" applyFont="1" applyFill="1" applyBorder="1" applyAlignment="1">
      <alignment horizontal="center" vertical="top"/>
    </xf>
    <xf numFmtId="0" fontId="47" fillId="56" borderId="29" xfId="104" applyFont="1" applyFill="1" applyBorder="1" applyAlignment="1">
      <alignment horizontal="center" vertical="top"/>
    </xf>
    <xf numFmtId="0" fontId="47" fillId="56" borderId="53" xfId="104" applyFont="1" applyFill="1" applyBorder="1" applyAlignment="1">
      <alignment horizontal="center" vertical="top"/>
    </xf>
    <xf numFmtId="164" fontId="57" fillId="56" borderId="38" xfId="105" applyNumberFormat="1" applyFont="1" applyFill="1" applyBorder="1" applyAlignment="1">
      <alignment vertical="center"/>
    </xf>
    <xf numFmtId="0" fontId="53" fillId="56" borderId="29" xfId="104" applyFont="1" applyFill="1" applyBorder="1" applyAlignment="1">
      <alignment horizontal="left" vertical="top"/>
    </xf>
    <xf numFmtId="0" fontId="53" fillId="56" borderId="46" xfId="104" applyFont="1" applyFill="1" applyBorder="1" applyAlignment="1">
      <alignment horizontal="left" vertical="top"/>
    </xf>
    <xf numFmtId="0" fontId="53" fillId="56" borderId="47" xfId="104" applyFont="1" applyFill="1" applyBorder="1" applyAlignment="1">
      <alignment horizontal="left" vertical="top"/>
    </xf>
    <xf numFmtId="0" fontId="53" fillId="56" borderId="48" xfId="104" applyFont="1" applyFill="1" applyBorder="1" applyAlignment="1">
      <alignment horizontal="left" vertical="top"/>
    </xf>
    <xf numFmtId="0" fontId="45" fillId="0" borderId="0" xfId="104" applyFont="1" applyAlignment="1">
      <alignment horizontal="right" wrapText="1"/>
    </xf>
    <xf numFmtId="0" fontId="46" fillId="0" borderId="0" xfId="104" applyFont="1" applyBorder="1" applyAlignment="1">
      <alignment horizontal="center" vertical="center" wrapText="1"/>
    </xf>
    <xf numFmtId="0" fontId="47" fillId="57" borderId="21" xfId="104" applyFont="1" applyFill="1" applyBorder="1" applyAlignment="1">
      <alignment horizontal="center" vertical="center"/>
    </xf>
    <xf numFmtId="0" fontId="47" fillId="57" borderId="28" xfId="104" applyFont="1" applyFill="1" applyBorder="1" applyAlignment="1">
      <alignment horizontal="center" vertical="center"/>
    </xf>
    <xf numFmtId="0" fontId="47" fillId="57" borderId="22" xfId="104" applyFont="1" applyFill="1" applyBorder="1" applyAlignment="1">
      <alignment horizontal="center" vertical="center" wrapText="1"/>
    </xf>
    <xf numFmtId="0" fontId="47" fillId="57" borderId="29" xfId="104" applyFont="1" applyFill="1" applyBorder="1" applyAlignment="1">
      <alignment horizontal="center" vertical="center" wrapText="1"/>
    </xf>
    <xf numFmtId="0" fontId="49" fillId="57" borderId="22" xfId="104" applyFont="1" applyFill="1" applyBorder="1" applyAlignment="1">
      <alignment horizontal="center" vertical="center" wrapText="1"/>
    </xf>
    <xf numFmtId="0" fontId="49" fillId="57" borderId="29" xfId="104" applyFont="1" applyFill="1" applyBorder="1" applyAlignment="1">
      <alignment horizontal="center" vertical="center" wrapText="1"/>
    </xf>
    <xf numFmtId="0" fontId="47" fillId="57" borderId="23" xfId="104" applyFont="1" applyFill="1" applyBorder="1" applyAlignment="1">
      <alignment horizontal="center" vertical="center" wrapText="1"/>
    </xf>
    <xf numFmtId="0" fontId="47" fillId="57" borderId="24" xfId="104" applyFont="1" applyFill="1" applyBorder="1" applyAlignment="1">
      <alignment horizontal="center" vertical="center" wrapText="1"/>
    </xf>
    <xf numFmtId="0" fontId="47" fillId="57" borderId="25" xfId="104" applyFont="1" applyFill="1" applyBorder="1" applyAlignment="1">
      <alignment horizontal="center" vertical="center" wrapText="1"/>
    </xf>
    <xf numFmtId="0" fontId="47" fillId="57" borderId="26" xfId="104" applyFont="1" applyFill="1" applyBorder="1" applyAlignment="1">
      <alignment horizontal="center" vertical="center" wrapText="1"/>
    </xf>
    <xf numFmtId="0" fontId="47" fillId="57" borderId="27" xfId="104" applyFont="1" applyFill="1" applyBorder="1" applyAlignment="1">
      <alignment horizontal="center" vertical="center" wrapText="1"/>
    </xf>
    <xf numFmtId="0" fontId="47" fillId="57" borderId="32" xfId="104" applyFont="1" applyFill="1" applyBorder="1" applyAlignment="1">
      <alignment horizontal="center" vertical="center" wrapText="1"/>
    </xf>
    <xf numFmtId="0" fontId="49" fillId="33" borderId="31" xfId="104" applyFont="1" applyFill="1" applyBorder="1" applyAlignment="1">
      <alignment horizontal="left" vertical="top"/>
    </xf>
    <xf numFmtId="0" fontId="53" fillId="0" borderId="31" xfId="104" applyFont="1" applyFill="1" applyBorder="1" applyAlignment="1">
      <alignment horizontal="left" vertical="top"/>
    </xf>
    <xf numFmtId="0" fontId="53" fillId="0" borderId="30" xfId="104" applyFont="1" applyFill="1" applyBorder="1" applyAlignment="1">
      <alignment horizontal="left" vertical="top"/>
    </xf>
    <xf numFmtId="0" fontId="47" fillId="56" borderId="40" xfId="104" applyFont="1" applyFill="1" applyBorder="1" applyAlignment="1">
      <alignment horizontal="left" vertical="top" wrapText="1"/>
    </xf>
    <xf numFmtId="0" fontId="54" fillId="56" borderId="41" xfId="104" applyFont="1" applyFill="1" applyBorder="1" applyAlignment="1">
      <alignment horizontal="left" vertical="top" wrapText="1"/>
    </xf>
    <xf numFmtId="0" fontId="54" fillId="56" borderId="42" xfId="104" applyFont="1" applyFill="1" applyBorder="1" applyAlignment="1">
      <alignment horizontal="left" vertical="top" wrapText="1"/>
    </xf>
  </cellXfs>
  <cellStyles count="113">
    <cellStyle name="20% - akcent 1 2" xfId="6"/>
    <cellStyle name="20% - akcent 1 3" xfId="7"/>
    <cellStyle name="20% - akcent 2 2" xfId="8"/>
    <cellStyle name="20% - akcent 2 3" xfId="9"/>
    <cellStyle name="20% - akcent 3 2" xfId="10"/>
    <cellStyle name="20% - akcent 3 3" xfId="11"/>
    <cellStyle name="20% - akcent 4 2" xfId="12"/>
    <cellStyle name="20% - akcent 4 3" xfId="13"/>
    <cellStyle name="20% - akcent 5 2" xfId="14"/>
    <cellStyle name="20% - akcent 5 3" xfId="15"/>
    <cellStyle name="20% - akcent 6 2" xfId="16"/>
    <cellStyle name="20% - akcent 6 3" xfId="17"/>
    <cellStyle name="40% - akcent 1 2" xfId="18"/>
    <cellStyle name="40% - akcent 1 3" xfId="19"/>
    <cellStyle name="40% - akcent 2 2" xfId="20"/>
    <cellStyle name="40% - akcent 2 3" xfId="21"/>
    <cellStyle name="40% - akcent 3 2" xfId="22"/>
    <cellStyle name="40% - akcent 3 3" xfId="23"/>
    <cellStyle name="40% - akcent 4 2" xfId="24"/>
    <cellStyle name="40% - akcent 4 3" xfId="25"/>
    <cellStyle name="40% - akcent 5 2" xfId="26"/>
    <cellStyle name="40% - akcent 5 3" xfId="27"/>
    <cellStyle name="40% - akcent 6 2" xfId="28"/>
    <cellStyle name="40% - akcent 6 3" xfId="29"/>
    <cellStyle name="60% - akcent 1 2" xfId="30"/>
    <cellStyle name="60% - akcent 1 3" xfId="31"/>
    <cellStyle name="60% - akcent 2 2" xfId="32"/>
    <cellStyle name="60% - akcent 2 3" xfId="33"/>
    <cellStyle name="60% - akcent 3 2" xfId="34"/>
    <cellStyle name="60% - akcent 3 3" xfId="35"/>
    <cellStyle name="60% - akcent 4 2" xfId="36"/>
    <cellStyle name="60% - akcent 4 3" xfId="37"/>
    <cellStyle name="60% - akcent 5 2" xfId="38"/>
    <cellStyle name="60% - akcent 5 3" xfId="39"/>
    <cellStyle name="60% - akcent 6 2" xfId="40"/>
    <cellStyle name="60% - akcent 6 3" xfId="41"/>
    <cellStyle name="Akcent 1 2" xfId="42"/>
    <cellStyle name="Akcent 1 3" xfId="43"/>
    <cellStyle name="Akcent 2 2" xfId="44"/>
    <cellStyle name="Akcent 2 3" xfId="45"/>
    <cellStyle name="Akcent 3 2" xfId="46"/>
    <cellStyle name="Akcent 3 3" xfId="47"/>
    <cellStyle name="Akcent 4 2" xfId="48"/>
    <cellStyle name="Akcent 4 3" xfId="49"/>
    <cellStyle name="Akcent 5 2" xfId="50"/>
    <cellStyle name="Akcent 5 3" xfId="51"/>
    <cellStyle name="Akcent 6 2" xfId="52"/>
    <cellStyle name="Akcent 6 3" xfId="53"/>
    <cellStyle name="Dane wejściowe 2" xfId="54"/>
    <cellStyle name="Dane wejściowe 3" xfId="55"/>
    <cellStyle name="Dane wyjściowe 2" xfId="56"/>
    <cellStyle name="Dane wyjściowe 3" xfId="57"/>
    <cellStyle name="Dobre 2" xfId="58"/>
    <cellStyle name="Dobre 3" xfId="59"/>
    <cellStyle name="Dziesiętny 2" xfId="106"/>
    <cellStyle name="Dziesiętny 2 2" xfId="105"/>
    <cellStyle name="Komórka połączona 2" xfId="60"/>
    <cellStyle name="Komórka połączona 3" xfId="61"/>
    <cellStyle name="Komórka zaznaczona 2" xfId="62"/>
    <cellStyle name="Komórka zaznaczona 3" xfId="63"/>
    <cellStyle name="Nagłówek 1 2" xfId="64"/>
    <cellStyle name="Nagłówek 1 3" xfId="65"/>
    <cellStyle name="Nagłówek 2 2" xfId="66"/>
    <cellStyle name="Nagłówek 2 3" xfId="67"/>
    <cellStyle name="Nagłówek 3 2" xfId="68"/>
    <cellStyle name="Nagłówek 3 3" xfId="69"/>
    <cellStyle name="Nagłówek 4 2" xfId="70"/>
    <cellStyle name="Nagłówek 4 3" xfId="71"/>
    <cellStyle name="Neutralne 2" xfId="72"/>
    <cellStyle name="Neutralne 3" xfId="73"/>
    <cellStyle name="Normalny" xfId="0" builtinId="0"/>
    <cellStyle name="Normalny 10" xfId="109"/>
    <cellStyle name="Normalny 11" xfId="110"/>
    <cellStyle name="Normalny 12" xfId="111"/>
    <cellStyle name="Normalny 13" xfId="112"/>
    <cellStyle name="Normalny 2" xfId="1"/>
    <cellStyle name="Normalny 2 2" xfId="74"/>
    <cellStyle name="Normalny 2 2 2" xfId="104"/>
    <cellStyle name="Normalny 2 3" xfId="75"/>
    <cellStyle name="Normalny 2 4" xfId="76"/>
    <cellStyle name="Normalny 2 5" xfId="77"/>
    <cellStyle name="Normalny 2 6" xfId="78"/>
    <cellStyle name="Normalny 2 7" xfId="79"/>
    <cellStyle name="Normalny 3" xfId="80"/>
    <cellStyle name="Normalny 4" xfId="81"/>
    <cellStyle name="Normalny 5" xfId="82"/>
    <cellStyle name="Normalny 6" xfId="83"/>
    <cellStyle name="Normalny 6 2" xfId="2"/>
    <cellStyle name="Normalny 7" xfId="84"/>
    <cellStyle name="Normalny 7 2" xfId="85"/>
    <cellStyle name="Normalny 8" xfId="3"/>
    <cellStyle name="Normalny 8 2" xfId="107"/>
    <cellStyle name="Normalny 9" xfId="108"/>
    <cellStyle name="Obliczenia 2" xfId="86"/>
    <cellStyle name="Obliczenia 3" xfId="87"/>
    <cellStyle name="Procentowy 2" xfId="4"/>
    <cellStyle name="Procentowy 2 2" xfId="5"/>
    <cellStyle name="Procentowy 2 3" xfId="88"/>
    <cellStyle name="Procentowy 3" xfId="89"/>
    <cellStyle name="Procentowy 3 2" xfId="90"/>
    <cellStyle name="Procentowy 4" xfId="91"/>
    <cellStyle name="Procentowy 5" xfId="92"/>
    <cellStyle name="Suma 2" xfId="93"/>
    <cellStyle name="Suma 3" xfId="94"/>
    <cellStyle name="Tekst objaśnienia 2" xfId="95"/>
    <cellStyle name="Tekst objaśnienia 3" xfId="96"/>
    <cellStyle name="Tekst ostrzeżenia 2" xfId="97"/>
    <cellStyle name="Tekst ostrzeżenia 3" xfId="98"/>
    <cellStyle name="Tytuł 2" xfId="99"/>
    <cellStyle name="Uwaga 2" xfId="100"/>
    <cellStyle name="Uwaga 3" xfId="101"/>
    <cellStyle name="Złe 2" xfId="102"/>
    <cellStyle name="Złe 3" xfId="103"/>
  </cellStyles>
  <dxfs count="18"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TIA%20II%20ostatecz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  <sheetName val="DaneZrodloweDoWsk"/>
    </sheetNames>
    <sheetDataSet>
      <sheetData sheetId="0"/>
      <sheetData sheetId="1"/>
      <sheetData sheetId="2"/>
      <sheetData sheetId="3"/>
      <sheetData sheetId="4">
        <row r="1">
          <cell r="N1">
            <v>2014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AM238"/>
  <sheetViews>
    <sheetView tabSelected="1" zoomScaleSheetLayoutView="100" workbookViewId="0">
      <pane xSplit="4" ySplit="5" topLeftCell="L6" activePane="bottomRight" state="frozen"/>
      <selection activeCell="H158" sqref="H158"/>
      <selection pane="topRight" activeCell="H158" sqref="H158"/>
      <selection pane="bottomLeft" activeCell="H158" sqref="H158"/>
      <selection pane="bottomRight" activeCell="L1" sqref="L1:R1"/>
    </sheetView>
  </sheetViews>
  <sheetFormatPr defaultRowHeight="14.25" outlineLevelRow="5" outlineLevelCol="1"/>
  <cols>
    <col min="1" max="1" width="4.85546875" style="264" hidden="1" customWidth="1" outlineLevel="1"/>
    <col min="2" max="2" width="7.5703125" style="271" customWidth="1" collapsed="1"/>
    <col min="3" max="3" width="24.85546875" style="273" hidden="1" customWidth="1"/>
    <col min="4" max="4" width="55.5703125" style="271" customWidth="1"/>
    <col min="5" max="7" width="16" style="271" hidden="1" customWidth="1" outlineLevel="1"/>
    <col min="8" max="8" width="0.140625" style="271" hidden="1" customWidth="1" outlineLevel="1"/>
    <col min="9" max="9" width="17.5703125" style="271" customWidth="1" collapsed="1"/>
    <col min="10" max="10" width="17.7109375" style="271" customWidth="1"/>
    <col min="11" max="12" width="17.28515625" style="271" customWidth="1"/>
    <col min="13" max="13" width="16.7109375" style="271" customWidth="1"/>
    <col min="14" max="14" width="15.85546875" style="271" customWidth="1"/>
    <col min="15" max="15" width="16" style="271" customWidth="1"/>
    <col min="16" max="16" width="15.5703125" style="271" customWidth="1"/>
    <col min="17" max="17" width="14.140625" style="271" customWidth="1"/>
    <col min="18" max="18" width="14.5703125" style="271" customWidth="1"/>
    <col min="19" max="38" width="16" style="271" customWidth="1"/>
    <col min="39" max="256" width="9.140625" style="270"/>
    <col min="257" max="257" width="0" style="270" hidden="1" customWidth="1"/>
    <col min="258" max="258" width="7.5703125" style="270" customWidth="1"/>
    <col min="259" max="259" width="0" style="270" hidden="1" customWidth="1"/>
    <col min="260" max="260" width="80.7109375" style="270" customWidth="1"/>
    <col min="261" max="294" width="16" style="270" customWidth="1"/>
    <col min="295" max="512" width="9.140625" style="270"/>
    <col min="513" max="513" width="0" style="270" hidden="1" customWidth="1"/>
    <col min="514" max="514" width="7.5703125" style="270" customWidth="1"/>
    <col min="515" max="515" width="0" style="270" hidden="1" customWidth="1"/>
    <col min="516" max="516" width="80.7109375" style="270" customWidth="1"/>
    <col min="517" max="550" width="16" style="270" customWidth="1"/>
    <col min="551" max="768" width="9.140625" style="270"/>
    <col min="769" max="769" width="0" style="270" hidden="1" customWidth="1"/>
    <col min="770" max="770" width="7.5703125" style="270" customWidth="1"/>
    <col min="771" max="771" width="0" style="270" hidden="1" customWidth="1"/>
    <col min="772" max="772" width="80.7109375" style="270" customWidth="1"/>
    <col min="773" max="806" width="16" style="270" customWidth="1"/>
    <col min="807" max="1024" width="9.140625" style="270"/>
    <col min="1025" max="1025" width="0" style="270" hidden="1" customWidth="1"/>
    <col min="1026" max="1026" width="7.5703125" style="270" customWidth="1"/>
    <col min="1027" max="1027" width="0" style="270" hidden="1" customWidth="1"/>
    <col min="1028" max="1028" width="80.7109375" style="270" customWidth="1"/>
    <col min="1029" max="1062" width="16" style="270" customWidth="1"/>
    <col min="1063" max="1280" width="9.140625" style="270"/>
    <col min="1281" max="1281" width="0" style="270" hidden="1" customWidth="1"/>
    <col min="1282" max="1282" width="7.5703125" style="270" customWidth="1"/>
    <col min="1283" max="1283" width="0" style="270" hidden="1" customWidth="1"/>
    <col min="1284" max="1284" width="80.7109375" style="270" customWidth="1"/>
    <col min="1285" max="1318" width="16" style="270" customWidth="1"/>
    <col min="1319" max="1536" width="9.140625" style="270"/>
    <col min="1537" max="1537" width="0" style="270" hidden="1" customWidth="1"/>
    <col min="1538" max="1538" width="7.5703125" style="270" customWidth="1"/>
    <col min="1539" max="1539" width="0" style="270" hidden="1" customWidth="1"/>
    <col min="1540" max="1540" width="80.7109375" style="270" customWidth="1"/>
    <col min="1541" max="1574" width="16" style="270" customWidth="1"/>
    <col min="1575" max="1792" width="9.140625" style="270"/>
    <col min="1793" max="1793" width="0" style="270" hidden="1" customWidth="1"/>
    <col min="1794" max="1794" width="7.5703125" style="270" customWidth="1"/>
    <col min="1795" max="1795" width="0" style="270" hidden="1" customWidth="1"/>
    <col min="1796" max="1796" width="80.7109375" style="270" customWidth="1"/>
    <col min="1797" max="1830" width="16" style="270" customWidth="1"/>
    <col min="1831" max="2048" width="9.140625" style="270"/>
    <col min="2049" max="2049" width="0" style="270" hidden="1" customWidth="1"/>
    <col min="2050" max="2050" width="7.5703125" style="270" customWidth="1"/>
    <col min="2051" max="2051" width="0" style="270" hidden="1" customWidth="1"/>
    <col min="2052" max="2052" width="80.7109375" style="270" customWidth="1"/>
    <col min="2053" max="2086" width="16" style="270" customWidth="1"/>
    <col min="2087" max="2304" width="9.140625" style="270"/>
    <col min="2305" max="2305" width="0" style="270" hidden="1" customWidth="1"/>
    <col min="2306" max="2306" width="7.5703125" style="270" customWidth="1"/>
    <col min="2307" max="2307" width="0" style="270" hidden="1" customWidth="1"/>
    <col min="2308" max="2308" width="80.7109375" style="270" customWidth="1"/>
    <col min="2309" max="2342" width="16" style="270" customWidth="1"/>
    <col min="2343" max="2560" width="9.140625" style="270"/>
    <col min="2561" max="2561" width="0" style="270" hidden="1" customWidth="1"/>
    <col min="2562" max="2562" width="7.5703125" style="270" customWidth="1"/>
    <col min="2563" max="2563" width="0" style="270" hidden="1" customWidth="1"/>
    <col min="2564" max="2564" width="80.7109375" style="270" customWidth="1"/>
    <col min="2565" max="2598" width="16" style="270" customWidth="1"/>
    <col min="2599" max="2816" width="9.140625" style="270"/>
    <col min="2817" max="2817" width="0" style="270" hidden="1" customWidth="1"/>
    <col min="2818" max="2818" width="7.5703125" style="270" customWidth="1"/>
    <col min="2819" max="2819" width="0" style="270" hidden="1" customWidth="1"/>
    <col min="2820" max="2820" width="80.7109375" style="270" customWidth="1"/>
    <col min="2821" max="2854" width="16" style="270" customWidth="1"/>
    <col min="2855" max="3072" width="9.140625" style="270"/>
    <col min="3073" max="3073" width="0" style="270" hidden="1" customWidth="1"/>
    <col min="3074" max="3074" width="7.5703125" style="270" customWidth="1"/>
    <col min="3075" max="3075" width="0" style="270" hidden="1" customWidth="1"/>
    <col min="3076" max="3076" width="80.7109375" style="270" customWidth="1"/>
    <col min="3077" max="3110" width="16" style="270" customWidth="1"/>
    <col min="3111" max="3328" width="9.140625" style="270"/>
    <col min="3329" max="3329" width="0" style="270" hidden="1" customWidth="1"/>
    <col min="3330" max="3330" width="7.5703125" style="270" customWidth="1"/>
    <col min="3331" max="3331" width="0" style="270" hidden="1" customWidth="1"/>
    <col min="3332" max="3332" width="80.7109375" style="270" customWidth="1"/>
    <col min="3333" max="3366" width="16" style="270" customWidth="1"/>
    <col min="3367" max="3584" width="9.140625" style="270"/>
    <col min="3585" max="3585" width="0" style="270" hidden="1" customWidth="1"/>
    <col min="3586" max="3586" width="7.5703125" style="270" customWidth="1"/>
    <col min="3587" max="3587" width="0" style="270" hidden="1" customWidth="1"/>
    <col min="3588" max="3588" width="80.7109375" style="270" customWidth="1"/>
    <col min="3589" max="3622" width="16" style="270" customWidth="1"/>
    <col min="3623" max="3840" width="9.140625" style="270"/>
    <col min="3841" max="3841" width="0" style="270" hidden="1" customWidth="1"/>
    <col min="3842" max="3842" width="7.5703125" style="270" customWidth="1"/>
    <col min="3843" max="3843" width="0" style="270" hidden="1" customWidth="1"/>
    <col min="3844" max="3844" width="80.7109375" style="270" customWidth="1"/>
    <col min="3845" max="3878" width="16" style="270" customWidth="1"/>
    <col min="3879" max="4096" width="9.140625" style="270"/>
    <col min="4097" max="4097" width="0" style="270" hidden="1" customWidth="1"/>
    <col min="4098" max="4098" width="7.5703125" style="270" customWidth="1"/>
    <col min="4099" max="4099" width="0" style="270" hidden="1" customWidth="1"/>
    <col min="4100" max="4100" width="80.7109375" style="270" customWidth="1"/>
    <col min="4101" max="4134" width="16" style="270" customWidth="1"/>
    <col min="4135" max="4352" width="9.140625" style="270"/>
    <col min="4353" max="4353" width="0" style="270" hidden="1" customWidth="1"/>
    <col min="4354" max="4354" width="7.5703125" style="270" customWidth="1"/>
    <col min="4355" max="4355" width="0" style="270" hidden="1" customWidth="1"/>
    <col min="4356" max="4356" width="80.7109375" style="270" customWidth="1"/>
    <col min="4357" max="4390" width="16" style="270" customWidth="1"/>
    <col min="4391" max="4608" width="9.140625" style="270"/>
    <col min="4609" max="4609" width="0" style="270" hidden="1" customWidth="1"/>
    <col min="4610" max="4610" width="7.5703125" style="270" customWidth="1"/>
    <col min="4611" max="4611" width="0" style="270" hidden="1" customWidth="1"/>
    <col min="4612" max="4612" width="80.7109375" style="270" customWidth="1"/>
    <col min="4613" max="4646" width="16" style="270" customWidth="1"/>
    <col min="4647" max="4864" width="9.140625" style="270"/>
    <col min="4865" max="4865" width="0" style="270" hidden="1" customWidth="1"/>
    <col min="4866" max="4866" width="7.5703125" style="270" customWidth="1"/>
    <col min="4867" max="4867" width="0" style="270" hidden="1" customWidth="1"/>
    <col min="4868" max="4868" width="80.7109375" style="270" customWidth="1"/>
    <col min="4869" max="4902" width="16" style="270" customWidth="1"/>
    <col min="4903" max="5120" width="9.140625" style="270"/>
    <col min="5121" max="5121" width="0" style="270" hidden="1" customWidth="1"/>
    <col min="5122" max="5122" width="7.5703125" style="270" customWidth="1"/>
    <col min="5123" max="5123" width="0" style="270" hidden="1" customWidth="1"/>
    <col min="5124" max="5124" width="80.7109375" style="270" customWidth="1"/>
    <col min="5125" max="5158" width="16" style="270" customWidth="1"/>
    <col min="5159" max="5376" width="9.140625" style="270"/>
    <col min="5377" max="5377" width="0" style="270" hidden="1" customWidth="1"/>
    <col min="5378" max="5378" width="7.5703125" style="270" customWidth="1"/>
    <col min="5379" max="5379" width="0" style="270" hidden="1" customWidth="1"/>
    <col min="5380" max="5380" width="80.7109375" style="270" customWidth="1"/>
    <col min="5381" max="5414" width="16" style="270" customWidth="1"/>
    <col min="5415" max="5632" width="9.140625" style="270"/>
    <col min="5633" max="5633" width="0" style="270" hidden="1" customWidth="1"/>
    <col min="5634" max="5634" width="7.5703125" style="270" customWidth="1"/>
    <col min="5635" max="5635" width="0" style="270" hidden="1" customWidth="1"/>
    <col min="5636" max="5636" width="80.7109375" style="270" customWidth="1"/>
    <col min="5637" max="5670" width="16" style="270" customWidth="1"/>
    <col min="5671" max="5888" width="9.140625" style="270"/>
    <col min="5889" max="5889" width="0" style="270" hidden="1" customWidth="1"/>
    <col min="5890" max="5890" width="7.5703125" style="270" customWidth="1"/>
    <col min="5891" max="5891" width="0" style="270" hidden="1" customWidth="1"/>
    <col min="5892" max="5892" width="80.7109375" style="270" customWidth="1"/>
    <col min="5893" max="5926" width="16" style="270" customWidth="1"/>
    <col min="5927" max="6144" width="9.140625" style="270"/>
    <col min="6145" max="6145" width="0" style="270" hidden="1" customWidth="1"/>
    <col min="6146" max="6146" width="7.5703125" style="270" customWidth="1"/>
    <col min="6147" max="6147" width="0" style="270" hidden="1" customWidth="1"/>
    <col min="6148" max="6148" width="80.7109375" style="270" customWidth="1"/>
    <col min="6149" max="6182" width="16" style="270" customWidth="1"/>
    <col min="6183" max="6400" width="9.140625" style="270"/>
    <col min="6401" max="6401" width="0" style="270" hidden="1" customWidth="1"/>
    <col min="6402" max="6402" width="7.5703125" style="270" customWidth="1"/>
    <col min="6403" max="6403" width="0" style="270" hidden="1" customWidth="1"/>
    <col min="6404" max="6404" width="80.7109375" style="270" customWidth="1"/>
    <col min="6405" max="6438" width="16" style="270" customWidth="1"/>
    <col min="6439" max="6656" width="9.140625" style="270"/>
    <col min="6657" max="6657" width="0" style="270" hidden="1" customWidth="1"/>
    <col min="6658" max="6658" width="7.5703125" style="270" customWidth="1"/>
    <col min="6659" max="6659" width="0" style="270" hidden="1" customWidth="1"/>
    <col min="6660" max="6660" width="80.7109375" style="270" customWidth="1"/>
    <col min="6661" max="6694" width="16" style="270" customWidth="1"/>
    <col min="6695" max="6912" width="9.140625" style="270"/>
    <col min="6913" max="6913" width="0" style="270" hidden="1" customWidth="1"/>
    <col min="6914" max="6914" width="7.5703125" style="270" customWidth="1"/>
    <col min="6915" max="6915" width="0" style="270" hidden="1" customWidth="1"/>
    <col min="6916" max="6916" width="80.7109375" style="270" customWidth="1"/>
    <col min="6917" max="6950" width="16" style="270" customWidth="1"/>
    <col min="6951" max="7168" width="9.140625" style="270"/>
    <col min="7169" max="7169" width="0" style="270" hidden="1" customWidth="1"/>
    <col min="7170" max="7170" width="7.5703125" style="270" customWidth="1"/>
    <col min="7171" max="7171" width="0" style="270" hidden="1" customWidth="1"/>
    <col min="7172" max="7172" width="80.7109375" style="270" customWidth="1"/>
    <col min="7173" max="7206" width="16" style="270" customWidth="1"/>
    <col min="7207" max="7424" width="9.140625" style="270"/>
    <col min="7425" max="7425" width="0" style="270" hidden="1" customWidth="1"/>
    <col min="7426" max="7426" width="7.5703125" style="270" customWidth="1"/>
    <col min="7427" max="7427" width="0" style="270" hidden="1" customWidth="1"/>
    <col min="7428" max="7428" width="80.7109375" style="270" customWidth="1"/>
    <col min="7429" max="7462" width="16" style="270" customWidth="1"/>
    <col min="7463" max="7680" width="9.140625" style="270"/>
    <col min="7681" max="7681" width="0" style="270" hidden="1" customWidth="1"/>
    <col min="7682" max="7682" width="7.5703125" style="270" customWidth="1"/>
    <col min="7683" max="7683" width="0" style="270" hidden="1" customWidth="1"/>
    <col min="7684" max="7684" width="80.7109375" style="270" customWidth="1"/>
    <col min="7685" max="7718" width="16" style="270" customWidth="1"/>
    <col min="7719" max="7936" width="9.140625" style="270"/>
    <col min="7937" max="7937" width="0" style="270" hidden="1" customWidth="1"/>
    <col min="7938" max="7938" width="7.5703125" style="270" customWidth="1"/>
    <col min="7939" max="7939" width="0" style="270" hidden="1" customWidth="1"/>
    <col min="7940" max="7940" width="80.7109375" style="270" customWidth="1"/>
    <col min="7941" max="7974" width="16" style="270" customWidth="1"/>
    <col min="7975" max="8192" width="9.140625" style="270"/>
    <col min="8193" max="8193" width="0" style="270" hidden="1" customWidth="1"/>
    <col min="8194" max="8194" width="7.5703125" style="270" customWidth="1"/>
    <col min="8195" max="8195" width="0" style="270" hidden="1" customWidth="1"/>
    <col min="8196" max="8196" width="80.7109375" style="270" customWidth="1"/>
    <col min="8197" max="8230" width="16" style="270" customWidth="1"/>
    <col min="8231" max="8448" width="9.140625" style="270"/>
    <col min="8449" max="8449" width="0" style="270" hidden="1" customWidth="1"/>
    <col min="8450" max="8450" width="7.5703125" style="270" customWidth="1"/>
    <col min="8451" max="8451" width="0" style="270" hidden="1" customWidth="1"/>
    <col min="8452" max="8452" width="80.7109375" style="270" customWidth="1"/>
    <col min="8453" max="8486" width="16" style="270" customWidth="1"/>
    <col min="8487" max="8704" width="9.140625" style="270"/>
    <col min="8705" max="8705" width="0" style="270" hidden="1" customWidth="1"/>
    <col min="8706" max="8706" width="7.5703125" style="270" customWidth="1"/>
    <col min="8707" max="8707" width="0" style="270" hidden="1" customWidth="1"/>
    <col min="8708" max="8708" width="80.7109375" style="270" customWidth="1"/>
    <col min="8709" max="8742" width="16" style="270" customWidth="1"/>
    <col min="8743" max="8960" width="9.140625" style="270"/>
    <col min="8961" max="8961" width="0" style="270" hidden="1" customWidth="1"/>
    <col min="8962" max="8962" width="7.5703125" style="270" customWidth="1"/>
    <col min="8963" max="8963" width="0" style="270" hidden="1" customWidth="1"/>
    <col min="8964" max="8964" width="80.7109375" style="270" customWidth="1"/>
    <col min="8965" max="8998" width="16" style="270" customWidth="1"/>
    <col min="8999" max="9216" width="9.140625" style="270"/>
    <col min="9217" max="9217" width="0" style="270" hidden="1" customWidth="1"/>
    <col min="9218" max="9218" width="7.5703125" style="270" customWidth="1"/>
    <col min="9219" max="9219" width="0" style="270" hidden="1" customWidth="1"/>
    <col min="9220" max="9220" width="80.7109375" style="270" customWidth="1"/>
    <col min="9221" max="9254" width="16" style="270" customWidth="1"/>
    <col min="9255" max="9472" width="9.140625" style="270"/>
    <col min="9473" max="9473" width="0" style="270" hidden="1" customWidth="1"/>
    <col min="9474" max="9474" width="7.5703125" style="270" customWidth="1"/>
    <col min="9475" max="9475" width="0" style="270" hidden="1" customWidth="1"/>
    <col min="9476" max="9476" width="80.7109375" style="270" customWidth="1"/>
    <col min="9477" max="9510" width="16" style="270" customWidth="1"/>
    <col min="9511" max="9728" width="9.140625" style="270"/>
    <col min="9729" max="9729" width="0" style="270" hidden="1" customWidth="1"/>
    <col min="9730" max="9730" width="7.5703125" style="270" customWidth="1"/>
    <col min="9731" max="9731" width="0" style="270" hidden="1" customWidth="1"/>
    <col min="9732" max="9732" width="80.7109375" style="270" customWidth="1"/>
    <col min="9733" max="9766" width="16" style="270" customWidth="1"/>
    <col min="9767" max="9984" width="9.140625" style="270"/>
    <col min="9985" max="9985" width="0" style="270" hidden="1" customWidth="1"/>
    <col min="9986" max="9986" width="7.5703125" style="270" customWidth="1"/>
    <col min="9987" max="9987" width="0" style="270" hidden="1" customWidth="1"/>
    <col min="9988" max="9988" width="80.7109375" style="270" customWidth="1"/>
    <col min="9989" max="10022" width="16" style="270" customWidth="1"/>
    <col min="10023" max="10240" width="9.140625" style="270"/>
    <col min="10241" max="10241" width="0" style="270" hidden="1" customWidth="1"/>
    <col min="10242" max="10242" width="7.5703125" style="270" customWidth="1"/>
    <col min="10243" max="10243" width="0" style="270" hidden="1" customWidth="1"/>
    <col min="10244" max="10244" width="80.7109375" style="270" customWidth="1"/>
    <col min="10245" max="10278" width="16" style="270" customWidth="1"/>
    <col min="10279" max="10496" width="9.140625" style="270"/>
    <col min="10497" max="10497" width="0" style="270" hidden="1" customWidth="1"/>
    <col min="10498" max="10498" width="7.5703125" style="270" customWidth="1"/>
    <col min="10499" max="10499" width="0" style="270" hidden="1" customWidth="1"/>
    <col min="10500" max="10500" width="80.7109375" style="270" customWidth="1"/>
    <col min="10501" max="10534" width="16" style="270" customWidth="1"/>
    <col min="10535" max="10752" width="9.140625" style="270"/>
    <col min="10753" max="10753" width="0" style="270" hidden="1" customWidth="1"/>
    <col min="10754" max="10754" width="7.5703125" style="270" customWidth="1"/>
    <col min="10755" max="10755" width="0" style="270" hidden="1" customWidth="1"/>
    <col min="10756" max="10756" width="80.7109375" style="270" customWidth="1"/>
    <col min="10757" max="10790" width="16" style="270" customWidth="1"/>
    <col min="10791" max="11008" width="9.140625" style="270"/>
    <col min="11009" max="11009" width="0" style="270" hidden="1" customWidth="1"/>
    <col min="11010" max="11010" width="7.5703125" style="270" customWidth="1"/>
    <col min="11011" max="11011" width="0" style="270" hidden="1" customWidth="1"/>
    <col min="11012" max="11012" width="80.7109375" style="270" customWidth="1"/>
    <col min="11013" max="11046" width="16" style="270" customWidth="1"/>
    <col min="11047" max="11264" width="9.140625" style="270"/>
    <col min="11265" max="11265" width="0" style="270" hidden="1" customWidth="1"/>
    <col min="11266" max="11266" width="7.5703125" style="270" customWidth="1"/>
    <col min="11267" max="11267" width="0" style="270" hidden="1" customWidth="1"/>
    <col min="11268" max="11268" width="80.7109375" style="270" customWidth="1"/>
    <col min="11269" max="11302" width="16" style="270" customWidth="1"/>
    <col min="11303" max="11520" width="9.140625" style="270"/>
    <col min="11521" max="11521" width="0" style="270" hidden="1" customWidth="1"/>
    <col min="11522" max="11522" width="7.5703125" style="270" customWidth="1"/>
    <col min="11523" max="11523" width="0" style="270" hidden="1" customWidth="1"/>
    <col min="11524" max="11524" width="80.7109375" style="270" customWidth="1"/>
    <col min="11525" max="11558" width="16" style="270" customWidth="1"/>
    <col min="11559" max="11776" width="9.140625" style="270"/>
    <col min="11777" max="11777" width="0" style="270" hidden="1" customWidth="1"/>
    <col min="11778" max="11778" width="7.5703125" style="270" customWidth="1"/>
    <col min="11779" max="11779" width="0" style="270" hidden="1" customWidth="1"/>
    <col min="11780" max="11780" width="80.7109375" style="270" customWidth="1"/>
    <col min="11781" max="11814" width="16" style="270" customWidth="1"/>
    <col min="11815" max="12032" width="9.140625" style="270"/>
    <col min="12033" max="12033" width="0" style="270" hidden="1" customWidth="1"/>
    <col min="12034" max="12034" width="7.5703125" style="270" customWidth="1"/>
    <col min="12035" max="12035" width="0" style="270" hidden="1" customWidth="1"/>
    <col min="12036" max="12036" width="80.7109375" style="270" customWidth="1"/>
    <col min="12037" max="12070" width="16" style="270" customWidth="1"/>
    <col min="12071" max="12288" width="9.140625" style="270"/>
    <col min="12289" max="12289" width="0" style="270" hidden="1" customWidth="1"/>
    <col min="12290" max="12290" width="7.5703125" style="270" customWidth="1"/>
    <col min="12291" max="12291" width="0" style="270" hidden="1" customWidth="1"/>
    <col min="12292" max="12292" width="80.7109375" style="270" customWidth="1"/>
    <col min="12293" max="12326" width="16" style="270" customWidth="1"/>
    <col min="12327" max="12544" width="9.140625" style="270"/>
    <col min="12545" max="12545" width="0" style="270" hidden="1" customWidth="1"/>
    <col min="12546" max="12546" width="7.5703125" style="270" customWidth="1"/>
    <col min="12547" max="12547" width="0" style="270" hidden="1" customWidth="1"/>
    <col min="12548" max="12548" width="80.7109375" style="270" customWidth="1"/>
    <col min="12549" max="12582" width="16" style="270" customWidth="1"/>
    <col min="12583" max="12800" width="9.140625" style="270"/>
    <col min="12801" max="12801" width="0" style="270" hidden="1" customWidth="1"/>
    <col min="12802" max="12802" width="7.5703125" style="270" customWidth="1"/>
    <col min="12803" max="12803" width="0" style="270" hidden="1" customWidth="1"/>
    <col min="12804" max="12804" width="80.7109375" style="270" customWidth="1"/>
    <col min="12805" max="12838" width="16" style="270" customWidth="1"/>
    <col min="12839" max="13056" width="9.140625" style="270"/>
    <col min="13057" max="13057" width="0" style="270" hidden="1" customWidth="1"/>
    <col min="13058" max="13058" width="7.5703125" style="270" customWidth="1"/>
    <col min="13059" max="13059" width="0" style="270" hidden="1" customWidth="1"/>
    <col min="13060" max="13060" width="80.7109375" style="270" customWidth="1"/>
    <col min="13061" max="13094" width="16" style="270" customWidth="1"/>
    <col min="13095" max="13312" width="9.140625" style="270"/>
    <col min="13313" max="13313" width="0" style="270" hidden="1" customWidth="1"/>
    <col min="13314" max="13314" width="7.5703125" style="270" customWidth="1"/>
    <col min="13315" max="13315" width="0" style="270" hidden="1" customWidth="1"/>
    <col min="13316" max="13316" width="80.7109375" style="270" customWidth="1"/>
    <col min="13317" max="13350" width="16" style="270" customWidth="1"/>
    <col min="13351" max="13568" width="9.140625" style="270"/>
    <col min="13569" max="13569" width="0" style="270" hidden="1" customWidth="1"/>
    <col min="13570" max="13570" width="7.5703125" style="270" customWidth="1"/>
    <col min="13571" max="13571" width="0" style="270" hidden="1" customWidth="1"/>
    <col min="13572" max="13572" width="80.7109375" style="270" customWidth="1"/>
    <col min="13573" max="13606" width="16" style="270" customWidth="1"/>
    <col min="13607" max="13824" width="9.140625" style="270"/>
    <col min="13825" max="13825" width="0" style="270" hidden="1" customWidth="1"/>
    <col min="13826" max="13826" width="7.5703125" style="270" customWidth="1"/>
    <col min="13827" max="13827" width="0" style="270" hidden="1" customWidth="1"/>
    <col min="13828" max="13828" width="80.7109375" style="270" customWidth="1"/>
    <col min="13829" max="13862" width="16" style="270" customWidth="1"/>
    <col min="13863" max="14080" width="9.140625" style="270"/>
    <col min="14081" max="14081" width="0" style="270" hidden="1" customWidth="1"/>
    <col min="14082" max="14082" width="7.5703125" style="270" customWidth="1"/>
    <col min="14083" max="14083" width="0" style="270" hidden="1" customWidth="1"/>
    <col min="14084" max="14084" width="80.7109375" style="270" customWidth="1"/>
    <col min="14085" max="14118" width="16" style="270" customWidth="1"/>
    <col min="14119" max="14336" width="9.140625" style="270"/>
    <col min="14337" max="14337" width="0" style="270" hidden="1" customWidth="1"/>
    <col min="14338" max="14338" width="7.5703125" style="270" customWidth="1"/>
    <col min="14339" max="14339" width="0" style="270" hidden="1" customWidth="1"/>
    <col min="14340" max="14340" width="80.7109375" style="270" customWidth="1"/>
    <col min="14341" max="14374" width="16" style="270" customWidth="1"/>
    <col min="14375" max="14592" width="9.140625" style="270"/>
    <col min="14593" max="14593" width="0" style="270" hidden="1" customWidth="1"/>
    <col min="14594" max="14594" width="7.5703125" style="270" customWidth="1"/>
    <col min="14595" max="14595" width="0" style="270" hidden="1" customWidth="1"/>
    <col min="14596" max="14596" width="80.7109375" style="270" customWidth="1"/>
    <col min="14597" max="14630" width="16" style="270" customWidth="1"/>
    <col min="14631" max="14848" width="9.140625" style="270"/>
    <col min="14849" max="14849" width="0" style="270" hidden="1" customWidth="1"/>
    <col min="14850" max="14850" width="7.5703125" style="270" customWidth="1"/>
    <col min="14851" max="14851" width="0" style="270" hidden="1" customWidth="1"/>
    <col min="14852" max="14852" width="80.7109375" style="270" customWidth="1"/>
    <col min="14853" max="14886" width="16" style="270" customWidth="1"/>
    <col min="14887" max="15104" width="9.140625" style="270"/>
    <col min="15105" max="15105" width="0" style="270" hidden="1" customWidth="1"/>
    <col min="15106" max="15106" width="7.5703125" style="270" customWidth="1"/>
    <col min="15107" max="15107" width="0" style="270" hidden="1" customWidth="1"/>
    <col min="15108" max="15108" width="80.7109375" style="270" customWidth="1"/>
    <col min="15109" max="15142" width="16" style="270" customWidth="1"/>
    <col min="15143" max="15360" width="9.140625" style="270"/>
    <col min="15361" max="15361" width="0" style="270" hidden="1" customWidth="1"/>
    <col min="15362" max="15362" width="7.5703125" style="270" customWidth="1"/>
    <col min="15363" max="15363" width="0" style="270" hidden="1" customWidth="1"/>
    <col min="15364" max="15364" width="80.7109375" style="270" customWidth="1"/>
    <col min="15365" max="15398" width="16" style="270" customWidth="1"/>
    <col min="15399" max="15616" width="9.140625" style="270"/>
    <col min="15617" max="15617" width="0" style="270" hidden="1" customWidth="1"/>
    <col min="15618" max="15618" width="7.5703125" style="270" customWidth="1"/>
    <col min="15619" max="15619" width="0" style="270" hidden="1" customWidth="1"/>
    <col min="15620" max="15620" width="80.7109375" style="270" customWidth="1"/>
    <col min="15621" max="15654" width="16" style="270" customWidth="1"/>
    <col min="15655" max="15872" width="9.140625" style="270"/>
    <col min="15873" max="15873" width="0" style="270" hidden="1" customWidth="1"/>
    <col min="15874" max="15874" width="7.5703125" style="270" customWidth="1"/>
    <col min="15875" max="15875" width="0" style="270" hidden="1" customWidth="1"/>
    <col min="15876" max="15876" width="80.7109375" style="270" customWidth="1"/>
    <col min="15877" max="15910" width="16" style="270" customWidth="1"/>
    <col min="15911" max="16128" width="9.140625" style="270"/>
    <col min="16129" max="16129" width="0" style="270" hidden="1" customWidth="1"/>
    <col min="16130" max="16130" width="7.5703125" style="270" customWidth="1"/>
    <col min="16131" max="16131" width="0" style="270" hidden="1" customWidth="1"/>
    <col min="16132" max="16132" width="80.7109375" style="270" customWidth="1"/>
    <col min="16133" max="16166" width="16" style="270" customWidth="1"/>
    <col min="16167" max="16384" width="9.140625" style="270"/>
  </cols>
  <sheetData>
    <row r="1" spans="1:39">
      <c r="B1" s="265"/>
      <c r="C1" s="266"/>
      <c r="D1" s="267"/>
      <c r="E1" s="268"/>
      <c r="F1" s="268"/>
      <c r="G1" s="268"/>
      <c r="H1" s="268"/>
      <c r="I1" s="269"/>
      <c r="J1" s="268"/>
      <c r="K1" s="268"/>
      <c r="L1" s="470" t="s">
        <v>617</v>
      </c>
      <c r="M1" s="470"/>
      <c r="N1" s="470"/>
      <c r="O1" s="470"/>
      <c r="P1" s="470"/>
      <c r="Q1" s="470"/>
      <c r="R1" s="470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7"/>
    </row>
    <row r="2" spans="1:39">
      <c r="B2" s="272"/>
      <c r="D2" s="274"/>
      <c r="E2" s="275"/>
      <c r="F2" s="276"/>
      <c r="G2" s="277"/>
      <c r="H2" s="275"/>
      <c r="K2" s="275"/>
      <c r="L2" s="268"/>
      <c r="M2" s="275"/>
      <c r="N2" s="278"/>
      <c r="O2" s="27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7"/>
    </row>
    <row r="3" spans="1:39">
      <c r="B3" s="471" t="s">
        <v>615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7"/>
    </row>
    <row r="4" spans="1:39"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7"/>
    </row>
    <row r="5" spans="1:39">
      <c r="A5" s="279" t="s">
        <v>199</v>
      </c>
      <c r="B5" s="170" t="s">
        <v>0</v>
      </c>
      <c r="C5" s="171" t="s">
        <v>200</v>
      </c>
      <c r="D5" s="172" t="s">
        <v>201</v>
      </c>
      <c r="E5" s="173">
        <f>+F5-1</f>
        <v>2011</v>
      </c>
      <c r="F5" s="174">
        <f>+G5-1</f>
        <v>2012</v>
      </c>
      <c r="G5" s="174">
        <f>+H5</f>
        <v>2013</v>
      </c>
      <c r="H5" s="175">
        <f>+I5-1</f>
        <v>2013</v>
      </c>
      <c r="I5" s="176">
        <f>+[1]DaneZrodlowe!$N$1</f>
        <v>2014</v>
      </c>
      <c r="J5" s="177">
        <f>+I5+1</f>
        <v>2015</v>
      </c>
      <c r="K5" s="177">
        <f t="shared" ref="K5:AL5" si="0">+J5+1</f>
        <v>2016</v>
      </c>
      <c r="L5" s="177">
        <f t="shared" si="0"/>
        <v>2017</v>
      </c>
      <c r="M5" s="177">
        <f t="shared" si="0"/>
        <v>2018</v>
      </c>
      <c r="N5" s="177">
        <f t="shared" si="0"/>
        <v>2019</v>
      </c>
      <c r="O5" s="177">
        <f t="shared" si="0"/>
        <v>2020</v>
      </c>
      <c r="P5" s="177">
        <f t="shared" si="0"/>
        <v>2021</v>
      </c>
      <c r="Q5" s="177">
        <f t="shared" si="0"/>
        <v>2022</v>
      </c>
      <c r="R5" s="177">
        <f t="shared" si="0"/>
        <v>2023</v>
      </c>
      <c r="S5" s="177">
        <f t="shared" si="0"/>
        <v>2024</v>
      </c>
      <c r="T5" s="177">
        <f t="shared" si="0"/>
        <v>2025</v>
      </c>
      <c r="U5" s="177">
        <f t="shared" si="0"/>
        <v>2026</v>
      </c>
      <c r="V5" s="177">
        <f t="shared" si="0"/>
        <v>2027</v>
      </c>
      <c r="W5" s="177">
        <f t="shared" si="0"/>
        <v>2028</v>
      </c>
      <c r="X5" s="177">
        <f t="shared" si="0"/>
        <v>2029</v>
      </c>
      <c r="Y5" s="177">
        <f t="shared" si="0"/>
        <v>2030</v>
      </c>
      <c r="Z5" s="177">
        <f t="shared" si="0"/>
        <v>2031</v>
      </c>
      <c r="AA5" s="177">
        <f t="shared" si="0"/>
        <v>2032</v>
      </c>
      <c r="AB5" s="177">
        <f t="shared" si="0"/>
        <v>2033</v>
      </c>
      <c r="AC5" s="177">
        <f t="shared" si="0"/>
        <v>2034</v>
      </c>
      <c r="AD5" s="177">
        <f t="shared" si="0"/>
        <v>2035</v>
      </c>
      <c r="AE5" s="177">
        <f t="shared" si="0"/>
        <v>2036</v>
      </c>
      <c r="AF5" s="177">
        <f t="shared" si="0"/>
        <v>2037</v>
      </c>
      <c r="AG5" s="177">
        <f t="shared" si="0"/>
        <v>2038</v>
      </c>
      <c r="AH5" s="177">
        <f t="shared" si="0"/>
        <v>2039</v>
      </c>
      <c r="AI5" s="177">
        <f t="shared" si="0"/>
        <v>2040</v>
      </c>
      <c r="AJ5" s="177">
        <f t="shared" si="0"/>
        <v>2041</v>
      </c>
      <c r="AK5" s="177">
        <f t="shared" si="0"/>
        <v>2042</v>
      </c>
      <c r="AL5" s="178">
        <f t="shared" si="0"/>
        <v>2043</v>
      </c>
      <c r="AM5" s="280"/>
    </row>
    <row r="6" spans="1:39" ht="15" outlineLevel="1">
      <c r="A6" s="264" t="s">
        <v>202</v>
      </c>
      <c r="B6" s="281">
        <v>1</v>
      </c>
      <c r="C6" s="282" t="s">
        <v>203</v>
      </c>
      <c r="D6" s="283" t="s">
        <v>203</v>
      </c>
      <c r="E6" s="179">
        <f>18734729.55</f>
        <v>18734729.550000001</v>
      </c>
      <c r="F6" s="180">
        <f>20245143.63</f>
        <v>20245143.629999999</v>
      </c>
      <c r="G6" s="180">
        <f>24139022.15</f>
        <v>24139022.149999999</v>
      </c>
      <c r="H6" s="181">
        <f>20184871.67</f>
        <v>20184871.670000002</v>
      </c>
      <c r="I6" s="182">
        <f>22074830.58</f>
        <v>22074830.579999998</v>
      </c>
      <c r="J6" s="183">
        <f>20719364</f>
        <v>20719364</v>
      </c>
      <c r="K6" s="183">
        <f>21240927</f>
        <v>21240927</v>
      </c>
      <c r="L6" s="183">
        <f>22455480</f>
        <v>22455480</v>
      </c>
      <c r="M6" s="183">
        <f>22640260</f>
        <v>22640260</v>
      </c>
      <c r="N6" s="183">
        <f>23725900</f>
        <v>23725900</v>
      </c>
      <c r="O6" s="183">
        <f>24370936</f>
        <v>24370936</v>
      </c>
      <c r="P6" s="183">
        <f>26783412</f>
        <v>26783412</v>
      </c>
      <c r="Q6" s="183">
        <f>29394663</f>
        <v>29394663</v>
      </c>
      <c r="R6" s="183">
        <f>30905503.42</f>
        <v>30905503.420000002</v>
      </c>
      <c r="S6" s="183">
        <f>0</f>
        <v>0</v>
      </c>
      <c r="T6" s="183">
        <f>0</f>
        <v>0</v>
      </c>
      <c r="U6" s="183">
        <f>0</f>
        <v>0</v>
      </c>
      <c r="V6" s="183">
        <f>0</f>
        <v>0</v>
      </c>
      <c r="W6" s="183">
        <f>0</f>
        <v>0</v>
      </c>
      <c r="X6" s="183">
        <f>0</f>
        <v>0</v>
      </c>
      <c r="Y6" s="183">
        <f>0</f>
        <v>0</v>
      </c>
      <c r="Z6" s="183">
        <f>0</f>
        <v>0</v>
      </c>
      <c r="AA6" s="183">
        <f>0</f>
        <v>0</v>
      </c>
      <c r="AB6" s="183">
        <f>0</f>
        <v>0</v>
      </c>
      <c r="AC6" s="183">
        <f>0</f>
        <v>0</v>
      </c>
      <c r="AD6" s="183">
        <f>0</f>
        <v>0</v>
      </c>
      <c r="AE6" s="183">
        <f>0</f>
        <v>0</v>
      </c>
      <c r="AF6" s="183">
        <f>0</f>
        <v>0</v>
      </c>
      <c r="AG6" s="183">
        <f>0</f>
        <v>0</v>
      </c>
      <c r="AH6" s="183">
        <f>0</f>
        <v>0</v>
      </c>
      <c r="AI6" s="183">
        <f>0</f>
        <v>0</v>
      </c>
      <c r="AJ6" s="183">
        <f>0</f>
        <v>0</v>
      </c>
      <c r="AK6" s="183">
        <f>0</f>
        <v>0</v>
      </c>
      <c r="AL6" s="184">
        <f>0</f>
        <v>0</v>
      </c>
      <c r="AM6" s="284"/>
    </row>
    <row r="7" spans="1:39" outlineLevel="2">
      <c r="A7" s="264" t="s">
        <v>202</v>
      </c>
      <c r="B7" s="285" t="s">
        <v>1</v>
      </c>
      <c r="C7" s="286" t="s">
        <v>204</v>
      </c>
      <c r="D7" s="287" t="s">
        <v>205</v>
      </c>
      <c r="E7" s="185">
        <f>14547878.58</f>
        <v>14547878.58</v>
      </c>
      <c r="F7" s="186">
        <f>17323122.3</f>
        <v>17323122.300000001</v>
      </c>
      <c r="G7" s="186">
        <f>19029276.15</f>
        <v>19029276.149999999</v>
      </c>
      <c r="H7" s="187">
        <f>17672294.68</f>
        <v>17672294.68</v>
      </c>
      <c r="I7" s="188">
        <f>18427055.58</f>
        <v>18427055.579999998</v>
      </c>
      <c r="J7" s="189">
        <f>19021065</f>
        <v>19021065</v>
      </c>
      <c r="K7" s="189">
        <f>19770927</f>
        <v>19770927</v>
      </c>
      <c r="L7" s="189">
        <f>20555480</f>
        <v>20555480</v>
      </c>
      <c r="M7" s="189">
        <f>21415260</f>
        <v>21415260</v>
      </c>
      <c r="N7" s="189">
        <f>22475900</f>
        <v>22475900</v>
      </c>
      <c r="O7" s="189">
        <f>23410936</f>
        <v>23410936</v>
      </c>
      <c r="P7" s="189">
        <f>24383412</f>
        <v>24383412</v>
      </c>
      <c r="Q7" s="189">
        <f>25294663</f>
        <v>25294663</v>
      </c>
      <c r="R7" s="189">
        <f>26305503.42</f>
        <v>26305503.420000002</v>
      </c>
      <c r="S7" s="189">
        <f>0</f>
        <v>0</v>
      </c>
      <c r="T7" s="189">
        <f>0</f>
        <v>0</v>
      </c>
      <c r="U7" s="189">
        <f>0</f>
        <v>0</v>
      </c>
      <c r="V7" s="189">
        <f>0</f>
        <v>0</v>
      </c>
      <c r="W7" s="189">
        <f>0</f>
        <v>0</v>
      </c>
      <c r="X7" s="189">
        <f>0</f>
        <v>0</v>
      </c>
      <c r="Y7" s="189">
        <f>0</f>
        <v>0</v>
      </c>
      <c r="Z7" s="189">
        <f>0</f>
        <v>0</v>
      </c>
      <c r="AA7" s="189">
        <f>0</f>
        <v>0</v>
      </c>
      <c r="AB7" s="189">
        <f>0</f>
        <v>0</v>
      </c>
      <c r="AC7" s="189">
        <f>0</f>
        <v>0</v>
      </c>
      <c r="AD7" s="189">
        <f>0</f>
        <v>0</v>
      </c>
      <c r="AE7" s="189">
        <f>0</f>
        <v>0</v>
      </c>
      <c r="AF7" s="189">
        <f>0</f>
        <v>0</v>
      </c>
      <c r="AG7" s="189">
        <f>0</f>
        <v>0</v>
      </c>
      <c r="AH7" s="189">
        <f>0</f>
        <v>0</v>
      </c>
      <c r="AI7" s="189">
        <f>0</f>
        <v>0</v>
      </c>
      <c r="AJ7" s="189">
        <f>0</f>
        <v>0</v>
      </c>
      <c r="AK7" s="189">
        <f>0</f>
        <v>0</v>
      </c>
      <c r="AL7" s="190">
        <f>0</f>
        <v>0</v>
      </c>
    </row>
    <row r="8" spans="1:39" ht="24" customHeight="1" outlineLevel="3">
      <c r="B8" s="285" t="s">
        <v>2</v>
      </c>
      <c r="C8" s="288" t="s">
        <v>206</v>
      </c>
      <c r="D8" s="289" t="s">
        <v>207</v>
      </c>
      <c r="E8" s="185">
        <f>0</f>
        <v>0</v>
      </c>
      <c r="F8" s="186">
        <f>3151779</f>
        <v>3151779</v>
      </c>
      <c r="G8" s="186">
        <f>3351551</f>
        <v>3351551</v>
      </c>
      <c r="H8" s="187">
        <f>3229309</f>
        <v>3229309</v>
      </c>
      <c r="I8" s="188">
        <f>3290694</f>
        <v>3290694</v>
      </c>
      <c r="J8" s="189">
        <f>3389414</f>
        <v>3389414</v>
      </c>
      <c r="K8" s="189">
        <f>3524990</f>
        <v>3524990</v>
      </c>
      <c r="L8" s="189">
        <f>3665989</f>
        <v>3665989</v>
      </c>
      <c r="M8" s="189">
        <f>0</f>
        <v>0</v>
      </c>
      <c r="N8" s="189">
        <f>0</f>
        <v>0</v>
      </c>
      <c r="O8" s="189">
        <f>0</f>
        <v>0</v>
      </c>
      <c r="P8" s="189">
        <f>0</f>
        <v>0</v>
      </c>
      <c r="Q8" s="189">
        <f>0</f>
        <v>0</v>
      </c>
      <c r="R8" s="189">
        <f>0</f>
        <v>0</v>
      </c>
      <c r="S8" s="189">
        <f>0</f>
        <v>0</v>
      </c>
      <c r="T8" s="189">
        <f>0</f>
        <v>0</v>
      </c>
      <c r="U8" s="189">
        <f>0</f>
        <v>0</v>
      </c>
      <c r="V8" s="189">
        <f>0</f>
        <v>0</v>
      </c>
      <c r="W8" s="189">
        <f>0</f>
        <v>0</v>
      </c>
      <c r="X8" s="189">
        <f>0</f>
        <v>0</v>
      </c>
      <c r="Y8" s="189">
        <f>0</f>
        <v>0</v>
      </c>
      <c r="Z8" s="189">
        <f>0</f>
        <v>0</v>
      </c>
      <c r="AA8" s="189">
        <f>0</f>
        <v>0</v>
      </c>
      <c r="AB8" s="189">
        <f>0</f>
        <v>0</v>
      </c>
      <c r="AC8" s="189">
        <f>0</f>
        <v>0</v>
      </c>
      <c r="AD8" s="189">
        <f>0</f>
        <v>0</v>
      </c>
      <c r="AE8" s="189">
        <f>0</f>
        <v>0</v>
      </c>
      <c r="AF8" s="189">
        <f>0</f>
        <v>0</v>
      </c>
      <c r="AG8" s="189">
        <f>0</f>
        <v>0</v>
      </c>
      <c r="AH8" s="189">
        <f>0</f>
        <v>0</v>
      </c>
      <c r="AI8" s="189">
        <f>0</f>
        <v>0</v>
      </c>
      <c r="AJ8" s="189">
        <f>0</f>
        <v>0</v>
      </c>
      <c r="AK8" s="189">
        <f>0</f>
        <v>0</v>
      </c>
      <c r="AL8" s="190">
        <f>0</f>
        <v>0</v>
      </c>
    </row>
    <row r="9" spans="1:39" ht="21.75" customHeight="1" outlineLevel="3">
      <c r="B9" s="285" t="s">
        <v>3</v>
      </c>
      <c r="C9" s="288" t="s">
        <v>208</v>
      </c>
      <c r="D9" s="289" t="s">
        <v>209</v>
      </c>
      <c r="E9" s="185">
        <f>0</f>
        <v>0</v>
      </c>
      <c r="F9" s="186">
        <f>1159935.15</f>
        <v>1159935.1499999999</v>
      </c>
      <c r="G9" s="186">
        <f>1300000</f>
        <v>1300000</v>
      </c>
      <c r="H9" s="187">
        <f>424770.31</f>
        <v>424770.31</v>
      </c>
      <c r="I9" s="188">
        <f>100000</f>
        <v>100000</v>
      </c>
      <c r="J9" s="189">
        <f>100000</f>
        <v>100000</v>
      </c>
      <c r="K9" s="189">
        <f>100000</f>
        <v>100000</v>
      </c>
      <c r="L9" s="189">
        <f>100000</f>
        <v>100000</v>
      </c>
      <c r="M9" s="189">
        <f>0</f>
        <v>0</v>
      </c>
      <c r="N9" s="189">
        <f>0</f>
        <v>0</v>
      </c>
      <c r="O9" s="189">
        <f>0</f>
        <v>0</v>
      </c>
      <c r="P9" s="189">
        <f>0</f>
        <v>0</v>
      </c>
      <c r="Q9" s="189">
        <f>0</f>
        <v>0</v>
      </c>
      <c r="R9" s="189">
        <f>0</f>
        <v>0</v>
      </c>
      <c r="S9" s="189">
        <f>0</f>
        <v>0</v>
      </c>
      <c r="T9" s="189">
        <f>0</f>
        <v>0</v>
      </c>
      <c r="U9" s="189">
        <f>0</f>
        <v>0</v>
      </c>
      <c r="V9" s="189">
        <f>0</f>
        <v>0</v>
      </c>
      <c r="W9" s="189">
        <f>0</f>
        <v>0</v>
      </c>
      <c r="X9" s="189">
        <f>0</f>
        <v>0</v>
      </c>
      <c r="Y9" s="189">
        <f>0</f>
        <v>0</v>
      </c>
      <c r="Z9" s="189">
        <f>0</f>
        <v>0</v>
      </c>
      <c r="AA9" s="189">
        <f>0</f>
        <v>0</v>
      </c>
      <c r="AB9" s="189">
        <f>0</f>
        <v>0</v>
      </c>
      <c r="AC9" s="189">
        <f>0</f>
        <v>0</v>
      </c>
      <c r="AD9" s="189">
        <f>0</f>
        <v>0</v>
      </c>
      <c r="AE9" s="189">
        <f>0</f>
        <v>0</v>
      </c>
      <c r="AF9" s="189">
        <f>0</f>
        <v>0</v>
      </c>
      <c r="AG9" s="189">
        <f>0</f>
        <v>0</v>
      </c>
      <c r="AH9" s="189">
        <f>0</f>
        <v>0</v>
      </c>
      <c r="AI9" s="189">
        <f>0</f>
        <v>0</v>
      </c>
      <c r="AJ9" s="189">
        <f>0</f>
        <v>0</v>
      </c>
      <c r="AK9" s="189">
        <f>0</f>
        <v>0</v>
      </c>
      <c r="AL9" s="190">
        <f>0</f>
        <v>0</v>
      </c>
    </row>
    <row r="10" spans="1:39" outlineLevel="3">
      <c r="B10" s="285" t="s">
        <v>210</v>
      </c>
      <c r="C10" s="288" t="s">
        <v>211</v>
      </c>
      <c r="D10" s="289" t="s">
        <v>212</v>
      </c>
      <c r="E10" s="185">
        <f>0</f>
        <v>0</v>
      </c>
      <c r="F10" s="186">
        <f>6295793.91</f>
        <v>6295793.9100000001</v>
      </c>
      <c r="G10" s="186">
        <f>7187615</f>
        <v>7187615</v>
      </c>
      <c r="H10" s="187">
        <f>7032325.04</f>
        <v>7032325.04</v>
      </c>
      <c r="I10" s="188">
        <f>7959798</f>
        <v>7959798</v>
      </c>
      <c r="J10" s="189">
        <f>7952510</f>
        <v>7952510</v>
      </c>
      <c r="K10" s="189">
        <f>8191086</f>
        <v>8191086</v>
      </c>
      <c r="L10" s="189">
        <f>8518729</f>
        <v>8518729</v>
      </c>
      <c r="M10" s="189">
        <f>0</f>
        <v>0</v>
      </c>
      <c r="N10" s="189">
        <f>0</f>
        <v>0</v>
      </c>
      <c r="O10" s="189">
        <f>0</f>
        <v>0</v>
      </c>
      <c r="P10" s="189">
        <f>0</f>
        <v>0</v>
      </c>
      <c r="Q10" s="189">
        <f>0</f>
        <v>0</v>
      </c>
      <c r="R10" s="189">
        <f>0</f>
        <v>0</v>
      </c>
      <c r="S10" s="189">
        <f>0</f>
        <v>0</v>
      </c>
      <c r="T10" s="189">
        <f>0</f>
        <v>0</v>
      </c>
      <c r="U10" s="189">
        <f>0</f>
        <v>0</v>
      </c>
      <c r="V10" s="189">
        <f>0</f>
        <v>0</v>
      </c>
      <c r="W10" s="189">
        <f>0</f>
        <v>0</v>
      </c>
      <c r="X10" s="189">
        <f>0</f>
        <v>0</v>
      </c>
      <c r="Y10" s="189">
        <f>0</f>
        <v>0</v>
      </c>
      <c r="Z10" s="189">
        <f>0</f>
        <v>0</v>
      </c>
      <c r="AA10" s="189">
        <f>0</f>
        <v>0</v>
      </c>
      <c r="AB10" s="189">
        <f>0</f>
        <v>0</v>
      </c>
      <c r="AC10" s="189">
        <f>0</f>
        <v>0</v>
      </c>
      <c r="AD10" s="189">
        <f>0</f>
        <v>0</v>
      </c>
      <c r="AE10" s="189">
        <f>0</f>
        <v>0</v>
      </c>
      <c r="AF10" s="189">
        <f>0</f>
        <v>0</v>
      </c>
      <c r="AG10" s="189">
        <f>0</f>
        <v>0</v>
      </c>
      <c r="AH10" s="189">
        <f>0</f>
        <v>0</v>
      </c>
      <c r="AI10" s="189">
        <f>0</f>
        <v>0</v>
      </c>
      <c r="AJ10" s="189">
        <f>0</f>
        <v>0</v>
      </c>
      <c r="AK10" s="189">
        <f>0</f>
        <v>0</v>
      </c>
      <c r="AL10" s="190">
        <f>0</f>
        <v>0</v>
      </c>
    </row>
    <row r="11" spans="1:39" outlineLevel="4">
      <c r="B11" s="285" t="s">
        <v>213</v>
      </c>
      <c r="C11" s="288" t="s">
        <v>214</v>
      </c>
      <c r="D11" s="290" t="s">
        <v>215</v>
      </c>
      <c r="E11" s="185">
        <f>0</f>
        <v>0</v>
      </c>
      <c r="F11" s="186">
        <f>5123482.52</f>
        <v>5123482.5199999996</v>
      </c>
      <c r="G11" s="186">
        <f>5433200</f>
        <v>5433200</v>
      </c>
      <c r="H11" s="187">
        <f>5509971.13</f>
        <v>5509971.1299999999</v>
      </c>
      <c r="I11" s="188">
        <f>6020320</f>
        <v>6020320</v>
      </c>
      <c r="J11" s="189">
        <f>6069400</f>
        <v>6069400</v>
      </c>
      <c r="K11" s="189">
        <f>6372878</f>
        <v>6372878</v>
      </c>
      <c r="L11" s="189">
        <f>6691530</f>
        <v>6691530</v>
      </c>
      <c r="M11" s="189">
        <f>0</f>
        <v>0</v>
      </c>
      <c r="N11" s="189">
        <f>0</f>
        <v>0</v>
      </c>
      <c r="O11" s="189">
        <f>0</f>
        <v>0</v>
      </c>
      <c r="P11" s="189">
        <f>0</f>
        <v>0</v>
      </c>
      <c r="Q11" s="189">
        <f>0</f>
        <v>0</v>
      </c>
      <c r="R11" s="189">
        <f>0</f>
        <v>0</v>
      </c>
      <c r="S11" s="189">
        <f>0</f>
        <v>0</v>
      </c>
      <c r="T11" s="189">
        <f>0</f>
        <v>0</v>
      </c>
      <c r="U11" s="189">
        <f>0</f>
        <v>0</v>
      </c>
      <c r="V11" s="189">
        <f>0</f>
        <v>0</v>
      </c>
      <c r="W11" s="189">
        <f>0</f>
        <v>0</v>
      </c>
      <c r="X11" s="189">
        <f>0</f>
        <v>0</v>
      </c>
      <c r="Y11" s="189">
        <f>0</f>
        <v>0</v>
      </c>
      <c r="Z11" s="189">
        <f>0</f>
        <v>0</v>
      </c>
      <c r="AA11" s="189">
        <f>0</f>
        <v>0</v>
      </c>
      <c r="AB11" s="189">
        <f>0</f>
        <v>0</v>
      </c>
      <c r="AC11" s="189">
        <f>0</f>
        <v>0</v>
      </c>
      <c r="AD11" s="189">
        <f>0</f>
        <v>0</v>
      </c>
      <c r="AE11" s="189">
        <f>0</f>
        <v>0</v>
      </c>
      <c r="AF11" s="189">
        <f>0</f>
        <v>0</v>
      </c>
      <c r="AG11" s="189">
        <f>0</f>
        <v>0</v>
      </c>
      <c r="AH11" s="189">
        <f>0</f>
        <v>0</v>
      </c>
      <c r="AI11" s="189">
        <f>0</f>
        <v>0</v>
      </c>
      <c r="AJ11" s="189">
        <f>0</f>
        <v>0</v>
      </c>
      <c r="AK11" s="189">
        <f>0</f>
        <v>0</v>
      </c>
      <c r="AL11" s="190">
        <f>0</f>
        <v>0</v>
      </c>
    </row>
    <row r="12" spans="1:39" outlineLevel="3">
      <c r="B12" s="285" t="s">
        <v>216</v>
      </c>
      <c r="C12" s="288" t="s">
        <v>217</v>
      </c>
      <c r="D12" s="289" t="s">
        <v>218</v>
      </c>
      <c r="E12" s="185">
        <f>0</f>
        <v>0</v>
      </c>
      <c r="F12" s="186">
        <f>3052760</f>
        <v>3052760</v>
      </c>
      <c r="G12" s="186">
        <f>3242345</f>
        <v>3242345</v>
      </c>
      <c r="H12" s="187">
        <f>3284589</f>
        <v>3284589</v>
      </c>
      <c r="I12" s="188">
        <f>3309648</f>
        <v>3309648</v>
      </c>
      <c r="J12" s="189">
        <f>3345427</f>
        <v>3345427</v>
      </c>
      <c r="K12" s="189">
        <f>3380000</f>
        <v>3380000</v>
      </c>
      <c r="L12" s="189">
        <f>3413800</f>
        <v>3413800</v>
      </c>
      <c r="M12" s="189">
        <f>0</f>
        <v>0</v>
      </c>
      <c r="N12" s="189">
        <f>0</f>
        <v>0</v>
      </c>
      <c r="O12" s="189">
        <f>0</f>
        <v>0</v>
      </c>
      <c r="P12" s="189">
        <f>0</f>
        <v>0</v>
      </c>
      <c r="Q12" s="189">
        <f>0</f>
        <v>0</v>
      </c>
      <c r="R12" s="189">
        <f>0</f>
        <v>0</v>
      </c>
      <c r="S12" s="189">
        <f>0</f>
        <v>0</v>
      </c>
      <c r="T12" s="189">
        <f>0</f>
        <v>0</v>
      </c>
      <c r="U12" s="189">
        <f>0</f>
        <v>0</v>
      </c>
      <c r="V12" s="189">
        <f>0</f>
        <v>0</v>
      </c>
      <c r="W12" s="189">
        <f>0</f>
        <v>0</v>
      </c>
      <c r="X12" s="189">
        <f>0</f>
        <v>0</v>
      </c>
      <c r="Y12" s="189">
        <f>0</f>
        <v>0</v>
      </c>
      <c r="Z12" s="189">
        <f>0</f>
        <v>0</v>
      </c>
      <c r="AA12" s="189">
        <f>0</f>
        <v>0</v>
      </c>
      <c r="AB12" s="189">
        <f>0</f>
        <v>0</v>
      </c>
      <c r="AC12" s="189">
        <f>0</f>
        <v>0</v>
      </c>
      <c r="AD12" s="189">
        <f>0</f>
        <v>0</v>
      </c>
      <c r="AE12" s="189">
        <f>0</f>
        <v>0</v>
      </c>
      <c r="AF12" s="189">
        <f>0</f>
        <v>0</v>
      </c>
      <c r="AG12" s="189">
        <f>0</f>
        <v>0</v>
      </c>
      <c r="AH12" s="189">
        <f>0</f>
        <v>0</v>
      </c>
      <c r="AI12" s="189">
        <f>0</f>
        <v>0</v>
      </c>
      <c r="AJ12" s="189">
        <f>0</f>
        <v>0</v>
      </c>
      <c r="AK12" s="189">
        <f>0</f>
        <v>0</v>
      </c>
      <c r="AL12" s="190">
        <f>0</f>
        <v>0</v>
      </c>
    </row>
    <row r="13" spans="1:39" outlineLevel="3">
      <c r="B13" s="285" t="s">
        <v>219</v>
      </c>
      <c r="C13" s="288" t="s">
        <v>220</v>
      </c>
      <c r="D13" s="289" t="s">
        <v>221</v>
      </c>
      <c r="E13" s="185">
        <f>0</f>
        <v>0</v>
      </c>
      <c r="F13" s="186">
        <f>2310121.95</f>
        <v>2310121.9500000002</v>
      </c>
      <c r="G13" s="186">
        <f>2469249.15</f>
        <v>2469249.15</v>
      </c>
      <c r="H13" s="187">
        <f>2542942.62</f>
        <v>2542942.62</v>
      </c>
      <c r="I13" s="188">
        <f>2128410.58</f>
        <v>2128410.58</v>
      </c>
      <c r="J13" s="189">
        <f>2386865</f>
        <v>2386865</v>
      </c>
      <c r="K13" s="189">
        <f>2530076</f>
        <v>2530076</v>
      </c>
      <c r="L13" s="189">
        <f>2580677</f>
        <v>2580677</v>
      </c>
      <c r="M13" s="189">
        <f>0</f>
        <v>0</v>
      </c>
      <c r="N13" s="189">
        <f>0</f>
        <v>0</v>
      </c>
      <c r="O13" s="189">
        <f>0</f>
        <v>0</v>
      </c>
      <c r="P13" s="189">
        <f>0</f>
        <v>0</v>
      </c>
      <c r="Q13" s="189">
        <f>0</f>
        <v>0</v>
      </c>
      <c r="R13" s="189">
        <f>0</f>
        <v>0</v>
      </c>
      <c r="S13" s="189">
        <f>0</f>
        <v>0</v>
      </c>
      <c r="T13" s="189">
        <f>0</f>
        <v>0</v>
      </c>
      <c r="U13" s="189">
        <f>0</f>
        <v>0</v>
      </c>
      <c r="V13" s="189">
        <f>0</f>
        <v>0</v>
      </c>
      <c r="W13" s="189">
        <f>0</f>
        <v>0</v>
      </c>
      <c r="X13" s="189">
        <f>0</f>
        <v>0</v>
      </c>
      <c r="Y13" s="189">
        <f>0</f>
        <v>0</v>
      </c>
      <c r="Z13" s="189">
        <f>0</f>
        <v>0</v>
      </c>
      <c r="AA13" s="189">
        <f>0</f>
        <v>0</v>
      </c>
      <c r="AB13" s="189">
        <f>0</f>
        <v>0</v>
      </c>
      <c r="AC13" s="189">
        <f>0</f>
        <v>0</v>
      </c>
      <c r="AD13" s="189">
        <f>0</f>
        <v>0</v>
      </c>
      <c r="AE13" s="189">
        <f>0</f>
        <v>0</v>
      </c>
      <c r="AF13" s="189">
        <f>0</f>
        <v>0</v>
      </c>
      <c r="AG13" s="189">
        <f>0</f>
        <v>0</v>
      </c>
      <c r="AH13" s="189">
        <f>0</f>
        <v>0</v>
      </c>
      <c r="AI13" s="189">
        <f>0</f>
        <v>0</v>
      </c>
      <c r="AJ13" s="189">
        <f>0</f>
        <v>0</v>
      </c>
      <c r="AK13" s="189">
        <f>0</f>
        <v>0</v>
      </c>
      <c r="AL13" s="190">
        <f>0</f>
        <v>0</v>
      </c>
    </row>
    <row r="14" spans="1:39" outlineLevel="2">
      <c r="A14" s="264" t="s">
        <v>202</v>
      </c>
      <c r="B14" s="285" t="s">
        <v>4</v>
      </c>
      <c r="C14" s="288" t="s">
        <v>222</v>
      </c>
      <c r="D14" s="287" t="s">
        <v>223</v>
      </c>
      <c r="E14" s="185">
        <f>4186850.97</f>
        <v>4186850.97</v>
      </c>
      <c r="F14" s="186">
        <f>2922021.33</f>
        <v>2922021.33</v>
      </c>
      <c r="G14" s="186">
        <f>5109746</f>
        <v>5109746</v>
      </c>
      <c r="H14" s="187">
        <f>2512576.99</f>
        <v>2512576.9900000002</v>
      </c>
      <c r="I14" s="188">
        <f>3647775</f>
        <v>3647775</v>
      </c>
      <c r="J14" s="189">
        <f>1698299</f>
        <v>1698299</v>
      </c>
      <c r="K14" s="189">
        <f>1470000</f>
        <v>1470000</v>
      </c>
      <c r="L14" s="189">
        <f>1900000</f>
        <v>1900000</v>
      </c>
      <c r="M14" s="189">
        <f>1225000</f>
        <v>1225000</v>
      </c>
      <c r="N14" s="189">
        <f>1250000</f>
        <v>1250000</v>
      </c>
      <c r="O14" s="189">
        <f>960000</f>
        <v>960000</v>
      </c>
      <c r="P14" s="189">
        <f>2400000</f>
        <v>2400000</v>
      </c>
      <c r="Q14" s="189">
        <f>4100000</f>
        <v>4100000</v>
      </c>
      <c r="R14" s="189">
        <f>4600000</f>
        <v>4600000</v>
      </c>
      <c r="S14" s="189">
        <f>0</f>
        <v>0</v>
      </c>
      <c r="T14" s="189">
        <f>0</f>
        <v>0</v>
      </c>
      <c r="U14" s="189">
        <f>0</f>
        <v>0</v>
      </c>
      <c r="V14" s="189">
        <f>0</f>
        <v>0</v>
      </c>
      <c r="W14" s="189">
        <f>0</f>
        <v>0</v>
      </c>
      <c r="X14" s="189">
        <f>0</f>
        <v>0</v>
      </c>
      <c r="Y14" s="189">
        <f>0</f>
        <v>0</v>
      </c>
      <c r="Z14" s="189">
        <f>0</f>
        <v>0</v>
      </c>
      <c r="AA14" s="189">
        <f>0</f>
        <v>0</v>
      </c>
      <c r="AB14" s="189">
        <f>0</f>
        <v>0</v>
      </c>
      <c r="AC14" s="189">
        <f>0</f>
        <v>0</v>
      </c>
      <c r="AD14" s="189">
        <f>0</f>
        <v>0</v>
      </c>
      <c r="AE14" s="189">
        <f>0</f>
        <v>0</v>
      </c>
      <c r="AF14" s="189">
        <f>0</f>
        <v>0</v>
      </c>
      <c r="AG14" s="189">
        <f>0</f>
        <v>0</v>
      </c>
      <c r="AH14" s="189">
        <f>0</f>
        <v>0</v>
      </c>
      <c r="AI14" s="189">
        <f>0</f>
        <v>0</v>
      </c>
      <c r="AJ14" s="189">
        <f>0</f>
        <v>0</v>
      </c>
      <c r="AK14" s="189">
        <f>0</f>
        <v>0</v>
      </c>
      <c r="AL14" s="190">
        <f>0</f>
        <v>0</v>
      </c>
    </row>
    <row r="15" spans="1:39" outlineLevel="3">
      <c r="A15" s="264" t="s">
        <v>202</v>
      </c>
      <c r="B15" s="285" t="s">
        <v>5</v>
      </c>
      <c r="C15" s="288" t="s">
        <v>224</v>
      </c>
      <c r="D15" s="289" t="s">
        <v>225</v>
      </c>
      <c r="E15" s="185">
        <f>1625556.65</f>
        <v>1625556.65</v>
      </c>
      <c r="F15" s="186">
        <f>252913.34</f>
        <v>252913.34</v>
      </c>
      <c r="G15" s="186">
        <f>2049970</f>
        <v>2049970</v>
      </c>
      <c r="H15" s="187">
        <f>1132047.95</f>
        <v>1132047.95</v>
      </c>
      <c r="I15" s="188">
        <f>2558121</f>
        <v>2558121</v>
      </c>
      <c r="J15" s="189">
        <f>1400000</f>
        <v>1400000</v>
      </c>
      <c r="K15" s="189">
        <f>950000</f>
        <v>950000</v>
      </c>
      <c r="L15" s="189">
        <f>850000</f>
        <v>850000</v>
      </c>
      <c r="M15" s="189">
        <f>200000</f>
        <v>200000</v>
      </c>
      <c r="N15" s="189">
        <f>0</f>
        <v>0</v>
      </c>
      <c r="O15" s="189">
        <f>0</f>
        <v>0</v>
      </c>
      <c r="P15" s="189">
        <f>0</f>
        <v>0</v>
      </c>
      <c r="Q15" s="189">
        <f>0</f>
        <v>0</v>
      </c>
      <c r="R15" s="189">
        <f>0</f>
        <v>0</v>
      </c>
      <c r="S15" s="189">
        <f>0</f>
        <v>0</v>
      </c>
      <c r="T15" s="189">
        <f>0</f>
        <v>0</v>
      </c>
      <c r="U15" s="189">
        <f>0</f>
        <v>0</v>
      </c>
      <c r="V15" s="189">
        <f>0</f>
        <v>0</v>
      </c>
      <c r="W15" s="189">
        <f>0</f>
        <v>0</v>
      </c>
      <c r="X15" s="189">
        <f>0</f>
        <v>0</v>
      </c>
      <c r="Y15" s="189">
        <f>0</f>
        <v>0</v>
      </c>
      <c r="Z15" s="189">
        <f>0</f>
        <v>0</v>
      </c>
      <c r="AA15" s="189">
        <f>0</f>
        <v>0</v>
      </c>
      <c r="AB15" s="189">
        <f>0</f>
        <v>0</v>
      </c>
      <c r="AC15" s="189">
        <f>0</f>
        <v>0</v>
      </c>
      <c r="AD15" s="189">
        <f>0</f>
        <v>0</v>
      </c>
      <c r="AE15" s="189">
        <f>0</f>
        <v>0</v>
      </c>
      <c r="AF15" s="189">
        <f>0</f>
        <v>0</v>
      </c>
      <c r="AG15" s="189">
        <f>0</f>
        <v>0</v>
      </c>
      <c r="AH15" s="189">
        <f>0</f>
        <v>0</v>
      </c>
      <c r="AI15" s="189">
        <f>0</f>
        <v>0</v>
      </c>
      <c r="AJ15" s="189">
        <f>0</f>
        <v>0</v>
      </c>
      <c r="AK15" s="189">
        <f>0</f>
        <v>0</v>
      </c>
      <c r="AL15" s="190">
        <f>0</f>
        <v>0</v>
      </c>
    </row>
    <row r="16" spans="1:39" ht="13.5" customHeight="1" outlineLevel="3">
      <c r="B16" s="285" t="s">
        <v>6</v>
      </c>
      <c r="C16" s="288" t="s">
        <v>226</v>
      </c>
      <c r="D16" s="289" t="s">
        <v>227</v>
      </c>
      <c r="E16" s="185">
        <f>2533289.46</f>
        <v>2533289.46</v>
      </c>
      <c r="F16" s="186">
        <f>2345848.47</f>
        <v>2345848.4700000002</v>
      </c>
      <c r="G16" s="186">
        <f>1694776</f>
        <v>1694776</v>
      </c>
      <c r="H16" s="187">
        <f>1351580.04</f>
        <v>1351580.04</v>
      </c>
      <c r="I16" s="188">
        <f>1079654</f>
        <v>1079654</v>
      </c>
      <c r="J16" s="189">
        <f>100000</f>
        <v>100000</v>
      </c>
      <c r="K16" s="189">
        <f>350000</f>
        <v>350000</v>
      </c>
      <c r="L16" s="189">
        <f>875000</f>
        <v>875000</v>
      </c>
      <c r="M16" s="189">
        <f>1000000</f>
        <v>1000000</v>
      </c>
      <c r="N16" s="189">
        <f>1244500</f>
        <v>1244500</v>
      </c>
      <c r="O16" s="189">
        <f>920000</f>
        <v>920000</v>
      </c>
      <c r="P16" s="189">
        <f>2380000</f>
        <v>2380000</v>
      </c>
      <c r="Q16" s="189">
        <f>4030000</f>
        <v>4030000</v>
      </c>
      <c r="R16" s="189">
        <f>4570000</f>
        <v>4570000</v>
      </c>
      <c r="S16" s="189">
        <f>0</f>
        <v>0</v>
      </c>
      <c r="T16" s="189">
        <f>0</f>
        <v>0</v>
      </c>
      <c r="U16" s="189">
        <f>0</f>
        <v>0</v>
      </c>
      <c r="V16" s="189">
        <f>0</f>
        <v>0</v>
      </c>
      <c r="W16" s="189">
        <f>0</f>
        <v>0</v>
      </c>
      <c r="X16" s="189">
        <f>0</f>
        <v>0</v>
      </c>
      <c r="Y16" s="189">
        <f>0</f>
        <v>0</v>
      </c>
      <c r="Z16" s="189">
        <f>0</f>
        <v>0</v>
      </c>
      <c r="AA16" s="189">
        <f>0</f>
        <v>0</v>
      </c>
      <c r="AB16" s="189">
        <f>0</f>
        <v>0</v>
      </c>
      <c r="AC16" s="189">
        <f>0</f>
        <v>0</v>
      </c>
      <c r="AD16" s="189">
        <f>0</f>
        <v>0</v>
      </c>
      <c r="AE16" s="189">
        <f>0</f>
        <v>0</v>
      </c>
      <c r="AF16" s="189">
        <f>0</f>
        <v>0</v>
      </c>
      <c r="AG16" s="189">
        <f>0</f>
        <v>0</v>
      </c>
      <c r="AH16" s="189">
        <f>0</f>
        <v>0</v>
      </c>
      <c r="AI16" s="189">
        <f>0</f>
        <v>0</v>
      </c>
      <c r="AJ16" s="189">
        <f>0</f>
        <v>0</v>
      </c>
      <c r="AK16" s="189">
        <f>0</f>
        <v>0</v>
      </c>
      <c r="AL16" s="190">
        <f>0</f>
        <v>0</v>
      </c>
    </row>
    <row r="17" spans="1:39" ht="15" outlineLevel="1">
      <c r="A17" s="264" t="s">
        <v>202</v>
      </c>
      <c r="B17" s="281">
        <v>2</v>
      </c>
      <c r="C17" s="282" t="s">
        <v>228</v>
      </c>
      <c r="D17" s="283" t="s">
        <v>228</v>
      </c>
      <c r="E17" s="179">
        <f>18802683.05</f>
        <v>18802683.050000001</v>
      </c>
      <c r="F17" s="180">
        <f>24474004.48</f>
        <v>24474004.48</v>
      </c>
      <c r="G17" s="180">
        <f>23725361.15</f>
        <v>23725361.149999999</v>
      </c>
      <c r="H17" s="181">
        <f>19823836.72</f>
        <v>19823836.719999999</v>
      </c>
      <c r="I17" s="182">
        <f>20210309.58</f>
        <v>20210309.579999998</v>
      </c>
      <c r="J17" s="183">
        <f>18765954</f>
        <v>18765954</v>
      </c>
      <c r="K17" s="183">
        <f>19287517</f>
        <v>19287517</v>
      </c>
      <c r="L17" s="183">
        <f>20502070</f>
        <v>20502070</v>
      </c>
      <c r="M17" s="183">
        <f>20686850</f>
        <v>20686850</v>
      </c>
      <c r="N17" s="183">
        <f>21772490</f>
        <v>21772490</v>
      </c>
      <c r="O17" s="183">
        <f>22457526</f>
        <v>22457526</v>
      </c>
      <c r="P17" s="183">
        <f>25773396</f>
        <v>25773396</v>
      </c>
      <c r="Q17" s="183">
        <f>29035811</f>
        <v>29035811</v>
      </c>
      <c r="R17" s="183">
        <f>30546570</f>
        <v>30546570</v>
      </c>
      <c r="S17" s="183">
        <f>0</f>
        <v>0</v>
      </c>
      <c r="T17" s="183">
        <f>0</f>
        <v>0</v>
      </c>
      <c r="U17" s="183">
        <f>0</f>
        <v>0</v>
      </c>
      <c r="V17" s="183">
        <f>0</f>
        <v>0</v>
      </c>
      <c r="W17" s="183">
        <f>0</f>
        <v>0</v>
      </c>
      <c r="X17" s="183">
        <f>0</f>
        <v>0</v>
      </c>
      <c r="Y17" s="183">
        <f>0</f>
        <v>0</v>
      </c>
      <c r="Z17" s="183">
        <f>0</f>
        <v>0</v>
      </c>
      <c r="AA17" s="183">
        <f>0</f>
        <v>0</v>
      </c>
      <c r="AB17" s="183">
        <f>0</f>
        <v>0</v>
      </c>
      <c r="AC17" s="183">
        <f>0</f>
        <v>0</v>
      </c>
      <c r="AD17" s="183">
        <f>0</f>
        <v>0</v>
      </c>
      <c r="AE17" s="183">
        <f>0</f>
        <v>0</v>
      </c>
      <c r="AF17" s="183">
        <f>0</f>
        <v>0</v>
      </c>
      <c r="AG17" s="183">
        <f>0</f>
        <v>0</v>
      </c>
      <c r="AH17" s="183">
        <f>0</f>
        <v>0</v>
      </c>
      <c r="AI17" s="183">
        <f>0</f>
        <v>0</v>
      </c>
      <c r="AJ17" s="183">
        <f>0</f>
        <v>0</v>
      </c>
      <c r="AK17" s="183">
        <f>0</f>
        <v>0</v>
      </c>
      <c r="AL17" s="184">
        <f>0</f>
        <v>0</v>
      </c>
      <c r="AM17" s="284"/>
    </row>
    <row r="18" spans="1:39" outlineLevel="2">
      <c r="A18" s="264" t="s">
        <v>202</v>
      </c>
      <c r="B18" s="285" t="s">
        <v>229</v>
      </c>
      <c r="C18" s="286" t="s">
        <v>230</v>
      </c>
      <c r="D18" s="287" t="s">
        <v>231</v>
      </c>
      <c r="E18" s="185">
        <f>13267074.91</f>
        <v>13267074.91</v>
      </c>
      <c r="F18" s="186">
        <f>15684142.16</f>
        <v>15684142.16</v>
      </c>
      <c r="G18" s="186">
        <f>18080461.15</f>
        <v>18080461.149999999</v>
      </c>
      <c r="H18" s="187">
        <f>16022654.21</f>
        <v>16022654.210000001</v>
      </c>
      <c r="I18" s="188">
        <f>17023401.67</f>
        <v>17023401.670000002</v>
      </c>
      <c r="J18" s="189">
        <f>16829326</f>
        <v>16829326</v>
      </c>
      <c r="K18" s="189">
        <f>17079900</f>
        <v>17079900</v>
      </c>
      <c r="L18" s="189">
        <f>17371589</f>
        <v>17371589</v>
      </c>
      <c r="M18" s="189">
        <f>17791850</f>
        <v>17791850</v>
      </c>
      <c r="N18" s="189">
        <f>18165690</f>
        <v>18165690</v>
      </c>
      <c r="O18" s="189">
        <f>18538090</f>
        <v>18538090</v>
      </c>
      <c r="P18" s="189">
        <f>18926850</f>
        <v>18926850</v>
      </c>
      <c r="Q18" s="189">
        <f>19623387</f>
        <v>19623387</v>
      </c>
      <c r="R18" s="189">
        <f>20327900</f>
        <v>20327900</v>
      </c>
      <c r="S18" s="189">
        <f>0</f>
        <v>0</v>
      </c>
      <c r="T18" s="189">
        <f>0</f>
        <v>0</v>
      </c>
      <c r="U18" s="189">
        <f>0</f>
        <v>0</v>
      </c>
      <c r="V18" s="189">
        <f>0</f>
        <v>0</v>
      </c>
      <c r="W18" s="189">
        <f>0</f>
        <v>0</v>
      </c>
      <c r="X18" s="189">
        <f>0</f>
        <v>0</v>
      </c>
      <c r="Y18" s="189">
        <f>0</f>
        <v>0</v>
      </c>
      <c r="Z18" s="189">
        <f>0</f>
        <v>0</v>
      </c>
      <c r="AA18" s="189">
        <f>0</f>
        <v>0</v>
      </c>
      <c r="AB18" s="189">
        <f>0</f>
        <v>0</v>
      </c>
      <c r="AC18" s="189">
        <f>0</f>
        <v>0</v>
      </c>
      <c r="AD18" s="189">
        <f>0</f>
        <v>0</v>
      </c>
      <c r="AE18" s="189">
        <f>0</f>
        <v>0</v>
      </c>
      <c r="AF18" s="189">
        <f>0</f>
        <v>0</v>
      </c>
      <c r="AG18" s="189">
        <f>0</f>
        <v>0</v>
      </c>
      <c r="AH18" s="189">
        <f>0</f>
        <v>0</v>
      </c>
      <c r="AI18" s="189">
        <f>0</f>
        <v>0</v>
      </c>
      <c r="AJ18" s="189">
        <f>0</f>
        <v>0</v>
      </c>
      <c r="AK18" s="189">
        <f>0</f>
        <v>0</v>
      </c>
      <c r="AL18" s="190">
        <f>0</f>
        <v>0</v>
      </c>
    </row>
    <row r="19" spans="1:39" outlineLevel="3">
      <c r="A19" s="264" t="s">
        <v>202</v>
      </c>
      <c r="B19" s="285" t="s">
        <v>232</v>
      </c>
      <c r="C19" s="288" t="s">
        <v>233</v>
      </c>
      <c r="D19" s="289" t="s">
        <v>234</v>
      </c>
      <c r="E19" s="185">
        <f>0</f>
        <v>0</v>
      </c>
      <c r="F19" s="186">
        <f>0</f>
        <v>0</v>
      </c>
      <c r="G19" s="186">
        <f>0</f>
        <v>0</v>
      </c>
      <c r="H19" s="187">
        <f>0</f>
        <v>0</v>
      </c>
      <c r="I19" s="188">
        <f>0</f>
        <v>0</v>
      </c>
      <c r="J19" s="189">
        <f>0</f>
        <v>0</v>
      </c>
      <c r="K19" s="189">
        <f>0</f>
        <v>0</v>
      </c>
      <c r="L19" s="189">
        <f>0</f>
        <v>0</v>
      </c>
      <c r="M19" s="189">
        <f>0</f>
        <v>0</v>
      </c>
      <c r="N19" s="189">
        <f>0</f>
        <v>0</v>
      </c>
      <c r="O19" s="189">
        <f>0</f>
        <v>0</v>
      </c>
      <c r="P19" s="189">
        <f>0</f>
        <v>0</v>
      </c>
      <c r="Q19" s="189">
        <f>0</f>
        <v>0</v>
      </c>
      <c r="R19" s="189">
        <f>0</f>
        <v>0</v>
      </c>
      <c r="S19" s="189">
        <f>0</f>
        <v>0</v>
      </c>
      <c r="T19" s="189">
        <f>0</f>
        <v>0</v>
      </c>
      <c r="U19" s="189">
        <f>0</f>
        <v>0</v>
      </c>
      <c r="V19" s="189">
        <f>0</f>
        <v>0</v>
      </c>
      <c r="W19" s="189">
        <f>0</f>
        <v>0</v>
      </c>
      <c r="X19" s="189">
        <f>0</f>
        <v>0</v>
      </c>
      <c r="Y19" s="189">
        <f>0</f>
        <v>0</v>
      </c>
      <c r="Z19" s="189">
        <f>0</f>
        <v>0</v>
      </c>
      <c r="AA19" s="189">
        <f>0</f>
        <v>0</v>
      </c>
      <c r="AB19" s="189">
        <f>0</f>
        <v>0</v>
      </c>
      <c r="AC19" s="189">
        <f>0</f>
        <v>0</v>
      </c>
      <c r="AD19" s="189">
        <f>0</f>
        <v>0</v>
      </c>
      <c r="AE19" s="189">
        <f>0</f>
        <v>0</v>
      </c>
      <c r="AF19" s="189">
        <f>0</f>
        <v>0</v>
      </c>
      <c r="AG19" s="189">
        <f>0</f>
        <v>0</v>
      </c>
      <c r="AH19" s="189">
        <f>0</f>
        <v>0</v>
      </c>
      <c r="AI19" s="189">
        <f>0</f>
        <v>0</v>
      </c>
      <c r="AJ19" s="189">
        <f>0</f>
        <v>0</v>
      </c>
      <c r="AK19" s="189">
        <f>0</f>
        <v>0</v>
      </c>
      <c r="AL19" s="190">
        <f>0</f>
        <v>0</v>
      </c>
    </row>
    <row r="20" spans="1:39" ht="24" outlineLevel="4">
      <c r="A20" s="264" t="s">
        <v>202</v>
      </c>
      <c r="B20" s="285" t="s">
        <v>235</v>
      </c>
      <c r="C20" s="288" t="s">
        <v>236</v>
      </c>
      <c r="D20" s="290" t="s">
        <v>237</v>
      </c>
      <c r="E20" s="185">
        <f>0</f>
        <v>0</v>
      </c>
      <c r="F20" s="186">
        <f>0</f>
        <v>0</v>
      </c>
      <c r="G20" s="186">
        <f>0</f>
        <v>0</v>
      </c>
      <c r="H20" s="187">
        <f>0</f>
        <v>0</v>
      </c>
      <c r="I20" s="188">
        <f>0</f>
        <v>0</v>
      </c>
      <c r="J20" s="189">
        <f>0</f>
        <v>0</v>
      </c>
      <c r="K20" s="189">
        <f>0</f>
        <v>0</v>
      </c>
      <c r="L20" s="189">
        <f>0</f>
        <v>0</v>
      </c>
      <c r="M20" s="189">
        <f>0</f>
        <v>0</v>
      </c>
      <c r="N20" s="189">
        <f>0</f>
        <v>0</v>
      </c>
      <c r="O20" s="189">
        <f>0</f>
        <v>0</v>
      </c>
      <c r="P20" s="189">
        <f>0</f>
        <v>0</v>
      </c>
      <c r="Q20" s="189">
        <f>0</f>
        <v>0</v>
      </c>
      <c r="R20" s="189">
        <f>0</f>
        <v>0</v>
      </c>
      <c r="S20" s="189">
        <f>0</f>
        <v>0</v>
      </c>
      <c r="T20" s="189">
        <f>0</f>
        <v>0</v>
      </c>
      <c r="U20" s="189">
        <f>0</f>
        <v>0</v>
      </c>
      <c r="V20" s="189">
        <f>0</f>
        <v>0</v>
      </c>
      <c r="W20" s="189">
        <f>0</f>
        <v>0</v>
      </c>
      <c r="X20" s="189">
        <f>0</f>
        <v>0</v>
      </c>
      <c r="Y20" s="189">
        <f>0</f>
        <v>0</v>
      </c>
      <c r="Z20" s="189">
        <f>0</f>
        <v>0</v>
      </c>
      <c r="AA20" s="189">
        <f>0</f>
        <v>0</v>
      </c>
      <c r="AB20" s="189">
        <f>0</f>
        <v>0</v>
      </c>
      <c r="AC20" s="189">
        <f>0</f>
        <v>0</v>
      </c>
      <c r="AD20" s="189">
        <f>0</f>
        <v>0</v>
      </c>
      <c r="AE20" s="189">
        <f>0</f>
        <v>0</v>
      </c>
      <c r="AF20" s="189">
        <f>0</f>
        <v>0</v>
      </c>
      <c r="AG20" s="189">
        <f>0</f>
        <v>0</v>
      </c>
      <c r="AH20" s="189">
        <f>0</f>
        <v>0</v>
      </c>
      <c r="AI20" s="189">
        <f>0</f>
        <v>0</v>
      </c>
      <c r="AJ20" s="189">
        <f>0</f>
        <v>0</v>
      </c>
      <c r="AK20" s="189">
        <f>0</f>
        <v>0</v>
      </c>
      <c r="AL20" s="190">
        <f>0</f>
        <v>0</v>
      </c>
    </row>
    <row r="21" spans="1:39" ht="58.5" customHeight="1" outlineLevel="3">
      <c r="B21" s="285" t="s">
        <v>238</v>
      </c>
      <c r="C21" s="288" t="s">
        <v>239</v>
      </c>
      <c r="D21" s="289" t="s">
        <v>240</v>
      </c>
      <c r="E21" s="185">
        <f>0</f>
        <v>0</v>
      </c>
      <c r="F21" s="186">
        <f>0</f>
        <v>0</v>
      </c>
      <c r="G21" s="186">
        <f>0</f>
        <v>0</v>
      </c>
      <c r="H21" s="187">
        <f>0</f>
        <v>0</v>
      </c>
      <c r="I21" s="188">
        <f>0</f>
        <v>0</v>
      </c>
      <c r="J21" s="189">
        <f>0</f>
        <v>0</v>
      </c>
      <c r="K21" s="189">
        <f>0</f>
        <v>0</v>
      </c>
      <c r="L21" s="189">
        <f>0</f>
        <v>0</v>
      </c>
      <c r="M21" s="189">
        <f>0</f>
        <v>0</v>
      </c>
      <c r="N21" s="189">
        <f>0</f>
        <v>0</v>
      </c>
      <c r="O21" s="189">
        <f>0</f>
        <v>0</v>
      </c>
      <c r="P21" s="189">
        <f>0</f>
        <v>0</v>
      </c>
      <c r="Q21" s="189">
        <f>0</f>
        <v>0</v>
      </c>
      <c r="R21" s="189">
        <f>0</f>
        <v>0</v>
      </c>
      <c r="S21" s="189">
        <f>0</f>
        <v>0</v>
      </c>
      <c r="T21" s="189">
        <f>0</f>
        <v>0</v>
      </c>
      <c r="U21" s="189">
        <f>0</f>
        <v>0</v>
      </c>
      <c r="V21" s="189">
        <f>0</f>
        <v>0</v>
      </c>
      <c r="W21" s="189">
        <f>0</f>
        <v>0</v>
      </c>
      <c r="X21" s="189">
        <f>0</f>
        <v>0</v>
      </c>
      <c r="Y21" s="189">
        <f>0</f>
        <v>0</v>
      </c>
      <c r="Z21" s="189">
        <f>0</f>
        <v>0</v>
      </c>
      <c r="AA21" s="189">
        <f>0</f>
        <v>0</v>
      </c>
      <c r="AB21" s="189">
        <f>0</f>
        <v>0</v>
      </c>
      <c r="AC21" s="189">
        <f>0</f>
        <v>0</v>
      </c>
      <c r="AD21" s="189">
        <f>0</f>
        <v>0</v>
      </c>
      <c r="AE21" s="189">
        <f>0</f>
        <v>0</v>
      </c>
      <c r="AF21" s="189">
        <f>0</f>
        <v>0</v>
      </c>
      <c r="AG21" s="189">
        <f>0</f>
        <v>0</v>
      </c>
      <c r="AH21" s="189">
        <f>0</f>
        <v>0</v>
      </c>
      <c r="AI21" s="189">
        <f>0</f>
        <v>0</v>
      </c>
      <c r="AJ21" s="189">
        <f>0</f>
        <v>0</v>
      </c>
      <c r="AK21" s="189">
        <f>0</f>
        <v>0</v>
      </c>
      <c r="AL21" s="190">
        <f>0</f>
        <v>0</v>
      </c>
    </row>
    <row r="22" spans="1:39" outlineLevel="3">
      <c r="A22" s="264" t="s">
        <v>202</v>
      </c>
      <c r="B22" s="285" t="s">
        <v>241</v>
      </c>
      <c r="C22" s="288" t="s">
        <v>242</v>
      </c>
      <c r="D22" s="289" t="s">
        <v>243</v>
      </c>
      <c r="E22" s="185">
        <f>706724.34</f>
        <v>706724.34</v>
      </c>
      <c r="F22" s="186">
        <f>1118360.5</f>
        <v>1118360.5</v>
      </c>
      <c r="G22" s="186">
        <f>1100000</f>
        <v>1100000</v>
      </c>
      <c r="H22" s="187">
        <f>907630.37</f>
        <v>907630.37</v>
      </c>
      <c r="I22" s="188">
        <f>885000</f>
        <v>885000</v>
      </c>
      <c r="J22" s="189">
        <f>746300</f>
        <v>746300</v>
      </c>
      <c r="K22" s="189">
        <f>637633</f>
        <v>637633</v>
      </c>
      <c r="L22" s="189">
        <f>535528</f>
        <v>535528</v>
      </c>
      <c r="M22" s="189">
        <f>403670</f>
        <v>403670</v>
      </c>
      <c r="N22" s="189">
        <f>279607</f>
        <v>279607</v>
      </c>
      <c r="O22" s="189">
        <f>167243</f>
        <v>167243</v>
      </c>
      <c r="P22" s="189">
        <f>60317</f>
        <v>60317</v>
      </c>
      <c r="Q22" s="189">
        <f>13280</f>
        <v>13280</v>
      </c>
      <c r="R22" s="189">
        <f>6660</f>
        <v>6660</v>
      </c>
      <c r="S22" s="189">
        <f>0</f>
        <v>0</v>
      </c>
      <c r="T22" s="189">
        <f>0</f>
        <v>0</v>
      </c>
      <c r="U22" s="189">
        <f>0</f>
        <v>0</v>
      </c>
      <c r="V22" s="189">
        <f>0</f>
        <v>0</v>
      </c>
      <c r="W22" s="189">
        <f>0</f>
        <v>0</v>
      </c>
      <c r="X22" s="189">
        <f>0</f>
        <v>0</v>
      </c>
      <c r="Y22" s="189">
        <f>0</f>
        <v>0</v>
      </c>
      <c r="Z22" s="189">
        <f>0</f>
        <v>0</v>
      </c>
      <c r="AA22" s="189">
        <f>0</f>
        <v>0</v>
      </c>
      <c r="AB22" s="189">
        <f>0</f>
        <v>0</v>
      </c>
      <c r="AC22" s="189">
        <f>0</f>
        <v>0</v>
      </c>
      <c r="AD22" s="189">
        <f>0</f>
        <v>0</v>
      </c>
      <c r="AE22" s="189">
        <f>0</f>
        <v>0</v>
      </c>
      <c r="AF22" s="189">
        <f>0</f>
        <v>0</v>
      </c>
      <c r="AG22" s="189">
        <f>0</f>
        <v>0</v>
      </c>
      <c r="AH22" s="189">
        <f>0</f>
        <v>0</v>
      </c>
      <c r="AI22" s="189">
        <f>0</f>
        <v>0</v>
      </c>
      <c r="AJ22" s="189">
        <f>0</f>
        <v>0</v>
      </c>
      <c r="AK22" s="189">
        <f>0</f>
        <v>0</v>
      </c>
      <c r="AL22" s="190">
        <f>0</f>
        <v>0</v>
      </c>
    </row>
    <row r="23" spans="1:39" outlineLevel="4">
      <c r="A23" s="264" t="s">
        <v>202</v>
      </c>
      <c r="B23" s="285" t="s">
        <v>244</v>
      </c>
      <c r="C23" s="288" t="s">
        <v>245</v>
      </c>
      <c r="D23" s="290" t="s">
        <v>246</v>
      </c>
      <c r="E23" s="185">
        <f>706724.34</f>
        <v>706724.34</v>
      </c>
      <c r="F23" s="186">
        <f>1118360.5</f>
        <v>1118360.5</v>
      </c>
      <c r="G23" s="186">
        <f>1100000</f>
        <v>1100000</v>
      </c>
      <c r="H23" s="187">
        <f>907630.37</f>
        <v>907630.37</v>
      </c>
      <c r="I23" s="188">
        <f>885000</f>
        <v>885000</v>
      </c>
      <c r="J23" s="189">
        <f>746300</f>
        <v>746300</v>
      </c>
      <c r="K23" s="189">
        <f>637633</f>
        <v>637633</v>
      </c>
      <c r="L23" s="189">
        <f>535528</f>
        <v>535528</v>
      </c>
      <c r="M23" s="189">
        <f>403670</f>
        <v>403670</v>
      </c>
      <c r="N23" s="189">
        <f>279607</f>
        <v>279607</v>
      </c>
      <c r="O23" s="189">
        <f>167243</f>
        <v>167243</v>
      </c>
      <c r="P23" s="189">
        <f>60317</f>
        <v>60317</v>
      </c>
      <c r="Q23" s="189">
        <f>13280</f>
        <v>13280</v>
      </c>
      <c r="R23" s="189">
        <f>6660</f>
        <v>6660</v>
      </c>
      <c r="S23" s="189">
        <f>0</f>
        <v>0</v>
      </c>
      <c r="T23" s="189">
        <f>0</f>
        <v>0</v>
      </c>
      <c r="U23" s="189">
        <f>0</f>
        <v>0</v>
      </c>
      <c r="V23" s="189">
        <f>0</f>
        <v>0</v>
      </c>
      <c r="W23" s="189">
        <f>0</f>
        <v>0</v>
      </c>
      <c r="X23" s="189">
        <f>0</f>
        <v>0</v>
      </c>
      <c r="Y23" s="189">
        <f>0</f>
        <v>0</v>
      </c>
      <c r="Z23" s="189">
        <f>0</f>
        <v>0</v>
      </c>
      <c r="AA23" s="189">
        <f>0</f>
        <v>0</v>
      </c>
      <c r="AB23" s="189">
        <f>0</f>
        <v>0</v>
      </c>
      <c r="AC23" s="189">
        <f>0</f>
        <v>0</v>
      </c>
      <c r="AD23" s="189">
        <f>0</f>
        <v>0</v>
      </c>
      <c r="AE23" s="189">
        <f>0</f>
        <v>0</v>
      </c>
      <c r="AF23" s="189">
        <f>0</f>
        <v>0</v>
      </c>
      <c r="AG23" s="189">
        <f>0</f>
        <v>0</v>
      </c>
      <c r="AH23" s="189">
        <f>0</f>
        <v>0</v>
      </c>
      <c r="AI23" s="189">
        <f>0</f>
        <v>0</v>
      </c>
      <c r="AJ23" s="189">
        <f>0</f>
        <v>0</v>
      </c>
      <c r="AK23" s="189">
        <f>0</f>
        <v>0</v>
      </c>
      <c r="AL23" s="190">
        <f>0</f>
        <v>0</v>
      </c>
    </row>
    <row r="24" spans="1:39" ht="60" outlineLevel="5">
      <c r="A24" s="264" t="s">
        <v>202</v>
      </c>
      <c r="B24" s="285" t="s">
        <v>247</v>
      </c>
      <c r="C24" s="288" t="s">
        <v>248</v>
      </c>
      <c r="D24" s="291" t="s">
        <v>249</v>
      </c>
      <c r="E24" s="185">
        <f>0</f>
        <v>0</v>
      </c>
      <c r="F24" s="186">
        <f>0</f>
        <v>0</v>
      </c>
      <c r="G24" s="186">
        <f>0</f>
        <v>0</v>
      </c>
      <c r="H24" s="187">
        <f>0</f>
        <v>0</v>
      </c>
      <c r="I24" s="188">
        <f>376613.12</f>
        <v>376613.12</v>
      </c>
      <c r="J24" s="189">
        <f>0</f>
        <v>0</v>
      </c>
      <c r="K24" s="189">
        <f>0</f>
        <v>0</v>
      </c>
      <c r="L24" s="189">
        <f>0</f>
        <v>0</v>
      </c>
      <c r="M24" s="189">
        <f>0</f>
        <v>0</v>
      </c>
      <c r="N24" s="189">
        <f>0</f>
        <v>0</v>
      </c>
      <c r="O24" s="189">
        <f>0</f>
        <v>0</v>
      </c>
      <c r="P24" s="189">
        <f>0</f>
        <v>0</v>
      </c>
      <c r="Q24" s="189">
        <f>0</f>
        <v>0</v>
      </c>
      <c r="R24" s="189">
        <f>0</f>
        <v>0</v>
      </c>
      <c r="S24" s="189">
        <f>0</f>
        <v>0</v>
      </c>
      <c r="T24" s="189">
        <f>0</f>
        <v>0</v>
      </c>
      <c r="U24" s="189">
        <f>0</f>
        <v>0</v>
      </c>
      <c r="V24" s="189">
        <f>0</f>
        <v>0</v>
      </c>
      <c r="W24" s="189">
        <f>0</f>
        <v>0</v>
      </c>
      <c r="X24" s="189">
        <f>0</f>
        <v>0</v>
      </c>
      <c r="Y24" s="189">
        <f>0</f>
        <v>0</v>
      </c>
      <c r="Z24" s="189">
        <f>0</f>
        <v>0</v>
      </c>
      <c r="AA24" s="189">
        <f>0</f>
        <v>0</v>
      </c>
      <c r="AB24" s="189">
        <f>0</f>
        <v>0</v>
      </c>
      <c r="AC24" s="189">
        <f>0</f>
        <v>0</v>
      </c>
      <c r="AD24" s="189">
        <f>0</f>
        <v>0</v>
      </c>
      <c r="AE24" s="189">
        <f>0</f>
        <v>0</v>
      </c>
      <c r="AF24" s="189">
        <f>0</f>
        <v>0</v>
      </c>
      <c r="AG24" s="189">
        <f>0</f>
        <v>0</v>
      </c>
      <c r="AH24" s="189">
        <f>0</f>
        <v>0</v>
      </c>
      <c r="AI24" s="189">
        <f>0</f>
        <v>0</v>
      </c>
      <c r="AJ24" s="189">
        <f>0</f>
        <v>0</v>
      </c>
      <c r="AK24" s="189">
        <f>0</f>
        <v>0</v>
      </c>
      <c r="AL24" s="190">
        <f>0</f>
        <v>0</v>
      </c>
    </row>
    <row r="25" spans="1:39" ht="36" outlineLevel="5">
      <c r="A25" s="264" t="s">
        <v>202</v>
      </c>
      <c r="B25" s="285" t="s">
        <v>250</v>
      </c>
      <c r="C25" s="288" t="s">
        <v>251</v>
      </c>
      <c r="D25" s="291" t="s">
        <v>252</v>
      </c>
      <c r="E25" s="185">
        <f>0</f>
        <v>0</v>
      </c>
      <c r="F25" s="186">
        <f>0</f>
        <v>0</v>
      </c>
      <c r="G25" s="186">
        <f>0</f>
        <v>0</v>
      </c>
      <c r="H25" s="187">
        <f>0</f>
        <v>0</v>
      </c>
      <c r="I25" s="188">
        <f>0</f>
        <v>0</v>
      </c>
      <c r="J25" s="189">
        <f>0</f>
        <v>0</v>
      </c>
      <c r="K25" s="189">
        <f>0</f>
        <v>0</v>
      </c>
      <c r="L25" s="189">
        <f>0</f>
        <v>0</v>
      </c>
      <c r="M25" s="189">
        <f>0</f>
        <v>0</v>
      </c>
      <c r="N25" s="189">
        <f>0</f>
        <v>0</v>
      </c>
      <c r="O25" s="189">
        <f>0</f>
        <v>0</v>
      </c>
      <c r="P25" s="189">
        <f>0</f>
        <v>0</v>
      </c>
      <c r="Q25" s="189">
        <f>0</f>
        <v>0</v>
      </c>
      <c r="R25" s="189">
        <f>0</f>
        <v>0</v>
      </c>
      <c r="S25" s="189">
        <f>0</f>
        <v>0</v>
      </c>
      <c r="T25" s="189">
        <f>0</f>
        <v>0</v>
      </c>
      <c r="U25" s="189">
        <f>0</f>
        <v>0</v>
      </c>
      <c r="V25" s="189">
        <f>0</f>
        <v>0</v>
      </c>
      <c r="W25" s="189">
        <f>0</f>
        <v>0</v>
      </c>
      <c r="X25" s="189">
        <f>0</f>
        <v>0</v>
      </c>
      <c r="Y25" s="189">
        <f>0</f>
        <v>0</v>
      </c>
      <c r="Z25" s="189">
        <f>0</f>
        <v>0</v>
      </c>
      <c r="AA25" s="189">
        <f>0</f>
        <v>0</v>
      </c>
      <c r="AB25" s="189">
        <f>0</f>
        <v>0</v>
      </c>
      <c r="AC25" s="189">
        <f>0</f>
        <v>0</v>
      </c>
      <c r="AD25" s="189">
        <f>0</f>
        <v>0</v>
      </c>
      <c r="AE25" s="189">
        <f>0</f>
        <v>0</v>
      </c>
      <c r="AF25" s="189">
        <f>0</f>
        <v>0</v>
      </c>
      <c r="AG25" s="189">
        <f>0</f>
        <v>0</v>
      </c>
      <c r="AH25" s="189">
        <f>0</f>
        <v>0</v>
      </c>
      <c r="AI25" s="189">
        <f>0</f>
        <v>0</v>
      </c>
      <c r="AJ25" s="189">
        <f>0</f>
        <v>0</v>
      </c>
      <c r="AK25" s="189">
        <f>0</f>
        <v>0</v>
      </c>
      <c r="AL25" s="190">
        <f>0</f>
        <v>0</v>
      </c>
    </row>
    <row r="26" spans="1:39" outlineLevel="2">
      <c r="A26" s="264" t="s">
        <v>202</v>
      </c>
      <c r="B26" s="285" t="s">
        <v>253</v>
      </c>
      <c r="C26" s="288" t="s">
        <v>254</v>
      </c>
      <c r="D26" s="287" t="s">
        <v>255</v>
      </c>
      <c r="E26" s="185">
        <f>5535608.14</f>
        <v>5535608.1399999997</v>
      </c>
      <c r="F26" s="186">
        <f>8789862.32</f>
        <v>8789862.3200000003</v>
      </c>
      <c r="G26" s="186">
        <f>5644900</f>
        <v>5644900</v>
      </c>
      <c r="H26" s="187">
        <f>3801182.51</f>
        <v>3801182.51</v>
      </c>
      <c r="I26" s="188">
        <f>3186907.91</f>
        <v>3186907.91</v>
      </c>
      <c r="J26" s="189">
        <f>1936628</f>
        <v>1936628</v>
      </c>
      <c r="K26" s="189">
        <f>2207617</f>
        <v>2207617</v>
      </c>
      <c r="L26" s="189">
        <f>3130481</f>
        <v>3130481</v>
      </c>
      <c r="M26" s="189">
        <f>2895000</f>
        <v>2895000</v>
      </c>
      <c r="N26" s="189">
        <f>3606800</f>
        <v>3606800</v>
      </c>
      <c r="O26" s="189">
        <f>3919436</f>
        <v>3919436</v>
      </c>
      <c r="P26" s="189">
        <f>6846546</f>
        <v>6846546</v>
      </c>
      <c r="Q26" s="189">
        <f>9412424</f>
        <v>9412424</v>
      </c>
      <c r="R26" s="189">
        <f>10218670</f>
        <v>10218670</v>
      </c>
      <c r="S26" s="189">
        <f>0</f>
        <v>0</v>
      </c>
      <c r="T26" s="189">
        <f>0</f>
        <v>0</v>
      </c>
      <c r="U26" s="189">
        <f>0</f>
        <v>0</v>
      </c>
      <c r="V26" s="189">
        <f>0</f>
        <v>0</v>
      </c>
      <c r="W26" s="189">
        <f>0</f>
        <v>0</v>
      </c>
      <c r="X26" s="189">
        <f>0</f>
        <v>0</v>
      </c>
      <c r="Y26" s="189">
        <f>0</f>
        <v>0</v>
      </c>
      <c r="Z26" s="189">
        <f>0</f>
        <v>0</v>
      </c>
      <c r="AA26" s="189">
        <f>0</f>
        <v>0</v>
      </c>
      <c r="AB26" s="189">
        <f>0</f>
        <v>0</v>
      </c>
      <c r="AC26" s="189">
        <f>0</f>
        <v>0</v>
      </c>
      <c r="AD26" s="189">
        <f>0</f>
        <v>0</v>
      </c>
      <c r="AE26" s="189">
        <f>0</f>
        <v>0</v>
      </c>
      <c r="AF26" s="189">
        <f>0</f>
        <v>0</v>
      </c>
      <c r="AG26" s="189">
        <f>0</f>
        <v>0</v>
      </c>
      <c r="AH26" s="189">
        <f>0</f>
        <v>0</v>
      </c>
      <c r="AI26" s="189">
        <f>0</f>
        <v>0</v>
      </c>
      <c r="AJ26" s="189">
        <f>0</f>
        <v>0</v>
      </c>
      <c r="AK26" s="189">
        <f>0</f>
        <v>0</v>
      </c>
      <c r="AL26" s="190">
        <f>0</f>
        <v>0</v>
      </c>
    </row>
    <row r="27" spans="1:39" ht="15" outlineLevel="1">
      <c r="A27" s="264" t="s">
        <v>202</v>
      </c>
      <c r="B27" s="281">
        <v>3</v>
      </c>
      <c r="C27" s="282" t="s">
        <v>256</v>
      </c>
      <c r="D27" s="283" t="s">
        <v>256</v>
      </c>
      <c r="E27" s="179">
        <f>-67953.5</f>
        <v>-67953.5</v>
      </c>
      <c r="F27" s="180">
        <f>-4228860.85</f>
        <v>-4228860.8499999996</v>
      </c>
      <c r="G27" s="180">
        <f>413661</f>
        <v>413661</v>
      </c>
      <c r="H27" s="181">
        <f>361034.95</f>
        <v>361034.95</v>
      </c>
      <c r="I27" s="182">
        <f>1864521</f>
        <v>1864521</v>
      </c>
      <c r="J27" s="183">
        <f>1953410</f>
        <v>1953410</v>
      </c>
      <c r="K27" s="183">
        <f>1953410</f>
        <v>1953410</v>
      </c>
      <c r="L27" s="183">
        <f>1953410</f>
        <v>1953410</v>
      </c>
      <c r="M27" s="183">
        <f>1953410</f>
        <v>1953410</v>
      </c>
      <c r="N27" s="183">
        <f>1953410</f>
        <v>1953410</v>
      </c>
      <c r="O27" s="183">
        <f>1913410</f>
        <v>1913410</v>
      </c>
      <c r="P27" s="183">
        <f>1010016</f>
        <v>1010016</v>
      </c>
      <c r="Q27" s="183">
        <f>358852</f>
        <v>358852</v>
      </c>
      <c r="R27" s="183">
        <f>358933.42</f>
        <v>358933.42</v>
      </c>
      <c r="S27" s="183">
        <f>0</f>
        <v>0</v>
      </c>
      <c r="T27" s="183">
        <f>0</f>
        <v>0</v>
      </c>
      <c r="U27" s="183">
        <f>0</f>
        <v>0</v>
      </c>
      <c r="V27" s="183">
        <f>0</f>
        <v>0</v>
      </c>
      <c r="W27" s="183">
        <f>0</f>
        <v>0</v>
      </c>
      <c r="X27" s="183">
        <f>0</f>
        <v>0</v>
      </c>
      <c r="Y27" s="183">
        <f>0</f>
        <v>0</v>
      </c>
      <c r="Z27" s="183">
        <f>0</f>
        <v>0</v>
      </c>
      <c r="AA27" s="183">
        <f>0</f>
        <v>0</v>
      </c>
      <c r="AB27" s="183">
        <f>0</f>
        <v>0</v>
      </c>
      <c r="AC27" s="183">
        <f>0</f>
        <v>0</v>
      </c>
      <c r="AD27" s="183">
        <f>0</f>
        <v>0</v>
      </c>
      <c r="AE27" s="183">
        <f>0</f>
        <v>0</v>
      </c>
      <c r="AF27" s="183">
        <f>0</f>
        <v>0</v>
      </c>
      <c r="AG27" s="183">
        <f>0</f>
        <v>0</v>
      </c>
      <c r="AH27" s="183">
        <f>0</f>
        <v>0</v>
      </c>
      <c r="AI27" s="183">
        <f>0</f>
        <v>0</v>
      </c>
      <c r="AJ27" s="183">
        <f>0</f>
        <v>0</v>
      </c>
      <c r="AK27" s="183">
        <f>0</f>
        <v>0</v>
      </c>
      <c r="AL27" s="184">
        <f>0</f>
        <v>0</v>
      </c>
      <c r="AM27" s="284"/>
    </row>
    <row r="28" spans="1:39" ht="15" outlineLevel="1">
      <c r="A28" s="264" t="s">
        <v>202</v>
      </c>
      <c r="B28" s="281">
        <v>4</v>
      </c>
      <c r="C28" s="282" t="s">
        <v>257</v>
      </c>
      <c r="D28" s="283" t="s">
        <v>257</v>
      </c>
      <c r="E28" s="179">
        <f>2895310.99</f>
        <v>2895310.99</v>
      </c>
      <c r="F28" s="180">
        <f>6398294.58</f>
        <v>6398294.5800000001</v>
      </c>
      <c r="G28" s="180">
        <f>1180860</f>
        <v>1180860</v>
      </c>
      <c r="H28" s="181">
        <f>1180848.92</f>
        <v>1180848.92</v>
      </c>
      <c r="I28" s="182">
        <f>0</f>
        <v>0</v>
      </c>
      <c r="J28" s="183">
        <f>0</f>
        <v>0</v>
      </c>
      <c r="K28" s="183">
        <f>0</f>
        <v>0</v>
      </c>
      <c r="L28" s="183">
        <f>0</f>
        <v>0</v>
      </c>
      <c r="M28" s="183">
        <f>0</f>
        <v>0</v>
      </c>
      <c r="N28" s="183">
        <f>0</f>
        <v>0</v>
      </c>
      <c r="O28" s="183">
        <f>0</f>
        <v>0</v>
      </c>
      <c r="P28" s="183">
        <f>0</f>
        <v>0</v>
      </c>
      <c r="Q28" s="183">
        <f>0</f>
        <v>0</v>
      </c>
      <c r="R28" s="183">
        <f>0</f>
        <v>0</v>
      </c>
      <c r="S28" s="183">
        <f>0</f>
        <v>0</v>
      </c>
      <c r="T28" s="183">
        <f>0</f>
        <v>0</v>
      </c>
      <c r="U28" s="183">
        <f>0</f>
        <v>0</v>
      </c>
      <c r="V28" s="183">
        <f>0</f>
        <v>0</v>
      </c>
      <c r="W28" s="183">
        <f>0</f>
        <v>0</v>
      </c>
      <c r="X28" s="183">
        <f>0</f>
        <v>0</v>
      </c>
      <c r="Y28" s="183">
        <f>0</f>
        <v>0</v>
      </c>
      <c r="Z28" s="183">
        <f>0</f>
        <v>0</v>
      </c>
      <c r="AA28" s="183">
        <f>0</f>
        <v>0</v>
      </c>
      <c r="AB28" s="183">
        <f>0</f>
        <v>0</v>
      </c>
      <c r="AC28" s="183">
        <f>0</f>
        <v>0</v>
      </c>
      <c r="AD28" s="183">
        <f>0</f>
        <v>0</v>
      </c>
      <c r="AE28" s="183">
        <f>0</f>
        <v>0</v>
      </c>
      <c r="AF28" s="183">
        <f>0</f>
        <v>0</v>
      </c>
      <c r="AG28" s="183">
        <f>0</f>
        <v>0</v>
      </c>
      <c r="AH28" s="183">
        <f>0</f>
        <v>0</v>
      </c>
      <c r="AI28" s="183">
        <f>0</f>
        <v>0</v>
      </c>
      <c r="AJ28" s="183">
        <f>0</f>
        <v>0</v>
      </c>
      <c r="AK28" s="183">
        <f>0</f>
        <v>0</v>
      </c>
      <c r="AL28" s="184">
        <f>0</f>
        <v>0</v>
      </c>
      <c r="AM28" s="284"/>
    </row>
    <row r="29" spans="1:39" outlineLevel="2">
      <c r="A29" s="264" t="s">
        <v>202</v>
      </c>
      <c r="B29" s="285" t="s">
        <v>258</v>
      </c>
      <c r="C29" s="288" t="s">
        <v>259</v>
      </c>
      <c r="D29" s="287" t="s">
        <v>260</v>
      </c>
      <c r="E29" s="185">
        <f>0</f>
        <v>0</v>
      </c>
      <c r="F29" s="186">
        <f>0</f>
        <v>0</v>
      </c>
      <c r="G29" s="186">
        <f>0</f>
        <v>0</v>
      </c>
      <c r="H29" s="187">
        <f>0</f>
        <v>0</v>
      </c>
      <c r="I29" s="188">
        <f>0</f>
        <v>0</v>
      </c>
      <c r="J29" s="189">
        <f>0</f>
        <v>0</v>
      </c>
      <c r="K29" s="189">
        <f>0</f>
        <v>0</v>
      </c>
      <c r="L29" s="189">
        <f>0</f>
        <v>0</v>
      </c>
      <c r="M29" s="189">
        <f>0</f>
        <v>0</v>
      </c>
      <c r="N29" s="189">
        <f>0</f>
        <v>0</v>
      </c>
      <c r="O29" s="189">
        <f>0</f>
        <v>0</v>
      </c>
      <c r="P29" s="189">
        <f>0</f>
        <v>0</v>
      </c>
      <c r="Q29" s="189">
        <f>0</f>
        <v>0</v>
      </c>
      <c r="R29" s="189">
        <f>0</f>
        <v>0</v>
      </c>
      <c r="S29" s="189">
        <f>0</f>
        <v>0</v>
      </c>
      <c r="T29" s="189">
        <f>0</f>
        <v>0</v>
      </c>
      <c r="U29" s="189">
        <f>0</f>
        <v>0</v>
      </c>
      <c r="V29" s="189">
        <f>0</f>
        <v>0</v>
      </c>
      <c r="W29" s="189">
        <f>0</f>
        <v>0</v>
      </c>
      <c r="X29" s="189">
        <f>0</f>
        <v>0</v>
      </c>
      <c r="Y29" s="189">
        <f>0</f>
        <v>0</v>
      </c>
      <c r="Z29" s="189">
        <f>0</f>
        <v>0</v>
      </c>
      <c r="AA29" s="189">
        <f>0</f>
        <v>0</v>
      </c>
      <c r="AB29" s="189">
        <f>0</f>
        <v>0</v>
      </c>
      <c r="AC29" s="189">
        <f>0</f>
        <v>0</v>
      </c>
      <c r="AD29" s="189">
        <f>0</f>
        <v>0</v>
      </c>
      <c r="AE29" s="189">
        <f>0</f>
        <v>0</v>
      </c>
      <c r="AF29" s="189">
        <f>0</f>
        <v>0</v>
      </c>
      <c r="AG29" s="189">
        <f>0</f>
        <v>0</v>
      </c>
      <c r="AH29" s="189">
        <f>0</f>
        <v>0</v>
      </c>
      <c r="AI29" s="189">
        <f>0</f>
        <v>0</v>
      </c>
      <c r="AJ29" s="189">
        <f>0</f>
        <v>0</v>
      </c>
      <c r="AK29" s="189">
        <f>0</f>
        <v>0</v>
      </c>
      <c r="AL29" s="190">
        <f>0</f>
        <v>0</v>
      </c>
    </row>
    <row r="30" spans="1:39" outlineLevel="3">
      <c r="A30" s="264" t="s">
        <v>202</v>
      </c>
      <c r="B30" s="285" t="s">
        <v>261</v>
      </c>
      <c r="C30" s="288" t="s">
        <v>262</v>
      </c>
      <c r="D30" s="289" t="s">
        <v>263</v>
      </c>
      <c r="E30" s="185">
        <f>0</f>
        <v>0</v>
      </c>
      <c r="F30" s="186">
        <f>0</f>
        <v>0</v>
      </c>
      <c r="G30" s="186">
        <f>0</f>
        <v>0</v>
      </c>
      <c r="H30" s="187">
        <f>0</f>
        <v>0</v>
      </c>
      <c r="I30" s="188">
        <f>0</f>
        <v>0</v>
      </c>
      <c r="J30" s="189">
        <f>0</f>
        <v>0</v>
      </c>
      <c r="K30" s="189">
        <f>0</f>
        <v>0</v>
      </c>
      <c r="L30" s="189">
        <f>0</f>
        <v>0</v>
      </c>
      <c r="M30" s="189">
        <f>0</f>
        <v>0</v>
      </c>
      <c r="N30" s="189">
        <f>0</f>
        <v>0</v>
      </c>
      <c r="O30" s="189">
        <f>0</f>
        <v>0</v>
      </c>
      <c r="P30" s="189">
        <f>0</f>
        <v>0</v>
      </c>
      <c r="Q30" s="189">
        <f>0</f>
        <v>0</v>
      </c>
      <c r="R30" s="189">
        <f>0</f>
        <v>0</v>
      </c>
      <c r="S30" s="189">
        <f>0</f>
        <v>0</v>
      </c>
      <c r="T30" s="189">
        <f>0</f>
        <v>0</v>
      </c>
      <c r="U30" s="189">
        <f>0</f>
        <v>0</v>
      </c>
      <c r="V30" s="189">
        <f>0</f>
        <v>0</v>
      </c>
      <c r="W30" s="189">
        <f>0</f>
        <v>0</v>
      </c>
      <c r="X30" s="189">
        <f>0</f>
        <v>0</v>
      </c>
      <c r="Y30" s="189">
        <f>0</f>
        <v>0</v>
      </c>
      <c r="Z30" s="189">
        <f>0</f>
        <v>0</v>
      </c>
      <c r="AA30" s="189">
        <f>0</f>
        <v>0</v>
      </c>
      <c r="AB30" s="189">
        <f>0</f>
        <v>0</v>
      </c>
      <c r="AC30" s="189">
        <f>0</f>
        <v>0</v>
      </c>
      <c r="AD30" s="189">
        <f>0</f>
        <v>0</v>
      </c>
      <c r="AE30" s="189">
        <f>0</f>
        <v>0</v>
      </c>
      <c r="AF30" s="189">
        <f>0</f>
        <v>0</v>
      </c>
      <c r="AG30" s="189">
        <f>0</f>
        <v>0</v>
      </c>
      <c r="AH30" s="189">
        <f>0</f>
        <v>0</v>
      </c>
      <c r="AI30" s="189">
        <f>0</f>
        <v>0</v>
      </c>
      <c r="AJ30" s="189">
        <f>0</f>
        <v>0</v>
      </c>
      <c r="AK30" s="189">
        <f>0</f>
        <v>0</v>
      </c>
      <c r="AL30" s="190">
        <f>0</f>
        <v>0</v>
      </c>
    </row>
    <row r="31" spans="1:39" outlineLevel="2">
      <c r="A31" s="264" t="s">
        <v>202</v>
      </c>
      <c r="B31" s="285" t="s">
        <v>264</v>
      </c>
      <c r="C31" s="288" t="s">
        <v>265</v>
      </c>
      <c r="D31" s="287" t="s">
        <v>266</v>
      </c>
      <c r="E31" s="185">
        <f>0</f>
        <v>0</v>
      </c>
      <c r="F31" s="186">
        <f>1322378</f>
        <v>1322378</v>
      </c>
      <c r="G31" s="186">
        <f>658562</f>
        <v>658562</v>
      </c>
      <c r="H31" s="187">
        <f>658562</f>
        <v>658562</v>
      </c>
      <c r="I31" s="188">
        <f>0</f>
        <v>0</v>
      </c>
      <c r="J31" s="189">
        <f>0</f>
        <v>0</v>
      </c>
      <c r="K31" s="189">
        <f>0</f>
        <v>0</v>
      </c>
      <c r="L31" s="189">
        <f>0</f>
        <v>0</v>
      </c>
      <c r="M31" s="189">
        <f>0</f>
        <v>0</v>
      </c>
      <c r="N31" s="189">
        <f>0</f>
        <v>0</v>
      </c>
      <c r="O31" s="189">
        <f>0</f>
        <v>0</v>
      </c>
      <c r="P31" s="189">
        <f>0</f>
        <v>0</v>
      </c>
      <c r="Q31" s="189">
        <f>0</f>
        <v>0</v>
      </c>
      <c r="R31" s="189">
        <f>0</f>
        <v>0</v>
      </c>
      <c r="S31" s="189">
        <f>0</f>
        <v>0</v>
      </c>
      <c r="T31" s="189">
        <f>0</f>
        <v>0</v>
      </c>
      <c r="U31" s="189">
        <f>0</f>
        <v>0</v>
      </c>
      <c r="V31" s="189">
        <f>0</f>
        <v>0</v>
      </c>
      <c r="W31" s="189">
        <f>0</f>
        <v>0</v>
      </c>
      <c r="X31" s="189">
        <f>0</f>
        <v>0</v>
      </c>
      <c r="Y31" s="189">
        <f>0</f>
        <v>0</v>
      </c>
      <c r="Z31" s="189">
        <f>0</f>
        <v>0</v>
      </c>
      <c r="AA31" s="189">
        <f>0</f>
        <v>0</v>
      </c>
      <c r="AB31" s="189">
        <f>0</f>
        <v>0</v>
      </c>
      <c r="AC31" s="189">
        <f>0</f>
        <v>0</v>
      </c>
      <c r="AD31" s="189">
        <f>0</f>
        <v>0</v>
      </c>
      <c r="AE31" s="189">
        <f>0</f>
        <v>0</v>
      </c>
      <c r="AF31" s="189">
        <f>0</f>
        <v>0</v>
      </c>
      <c r="AG31" s="189">
        <f>0</f>
        <v>0</v>
      </c>
      <c r="AH31" s="189">
        <f>0</f>
        <v>0</v>
      </c>
      <c r="AI31" s="189">
        <f>0</f>
        <v>0</v>
      </c>
      <c r="AJ31" s="189">
        <f>0</f>
        <v>0</v>
      </c>
      <c r="AK31" s="189">
        <f>0</f>
        <v>0</v>
      </c>
      <c r="AL31" s="190">
        <f>0</f>
        <v>0</v>
      </c>
    </row>
    <row r="32" spans="1:39" outlineLevel="3">
      <c r="A32" s="264" t="s">
        <v>202</v>
      </c>
      <c r="B32" s="285" t="s">
        <v>267</v>
      </c>
      <c r="C32" s="288" t="s">
        <v>268</v>
      </c>
      <c r="D32" s="289" t="s">
        <v>263</v>
      </c>
      <c r="E32" s="185">
        <f>0</f>
        <v>0</v>
      </c>
      <c r="F32" s="186">
        <f>0</f>
        <v>0</v>
      </c>
      <c r="G32" s="186">
        <f>0</f>
        <v>0</v>
      </c>
      <c r="H32" s="187">
        <f>0</f>
        <v>0</v>
      </c>
      <c r="I32" s="188">
        <f>0</f>
        <v>0</v>
      </c>
      <c r="J32" s="189">
        <f>0</f>
        <v>0</v>
      </c>
      <c r="K32" s="189">
        <f>0</f>
        <v>0</v>
      </c>
      <c r="L32" s="189">
        <f>0</f>
        <v>0</v>
      </c>
      <c r="M32" s="189">
        <f>0</f>
        <v>0</v>
      </c>
      <c r="N32" s="189">
        <f>0</f>
        <v>0</v>
      </c>
      <c r="O32" s="189">
        <f>0</f>
        <v>0</v>
      </c>
      <c r="P32" s="189">
        <f>0</f>
        <v>0</v>
      </c>
      <c r="Q32" s="189">
        <f>0</f>
        <v>0</v>
      </c>
      <c r="R32" s="189">
        <f>0</f>
        <v>0</v>
      </c>
      <c r="S32" s="189">
        <f>0</f>
        <v>0</v>
      </c>
      <c r="T32" s="189">
        <f>0</f>
        <v>0</v>
      </c>
      <c r="U32" s="189">
        <f>0</f>
        <v>0</v>
      </c>
      <c r="V32" s="189">
        <f>0</f>
        <v>0</v>
      </c>
      <c r="W32" s="189">
        <f>0</f>
        <v>0</v>
      </c>
      <c r="X32" s="189">
        <f>0</f>
        <v>0</v>
      </c>
      <c r="Y32" s="189">
        <f>0</f>
        <v>0</v>
      </c>
      <c r="Z32" s="189">
        <f>0</f>
        <v>0</v>
      </c>
      <c r="AA32" s="189">
        <f>0</f>
        <v>0</v>
      </c>
      <c r="AB32" s="189">
        <f>0</f>
        <v>0</v>
      </c>
      <c r="AC32" s="189">
        <f>0</f>
        <v>0</v>
      </c>
      <c r="AD32" s="189">
        <f>0</f>
        <v>0</v>
      </c>
      <c r="AE32" s="189">
        <f>0</f>
        <v>0</v>
      </c>
      <c r="AF32" s="189">
        <f>0</f>
        <v>0</v>
      </c>
      <c r="AG32" s="189">
        <f>0</f>
        <v>0</v>
      </c>
      <c r="AH32" s="189">
        <f>0</f>
        <v>0</v>
      </c>
      <c r="AI32" s="189">
        <f>0</f>
        <v>0</v>
      </c>
      <c r="AJ32" s="189">
        <f>0</f>
        <v>0</v>
      </c>
      <c r="AK32" s="189">
        <f>0</f>
        <v>0</v>
      </c>
      <c r="AL32" s="190">
        <f>0</f>
        <v>0</v>
      </c>
    </row>
    <row r="33" spans="1:39" outlineLevel="2">
      <c r="A33" s="264" t="s">
        <v>202</v>
      </c>
      <c r="B33" s="285" t="s">
        <v>269</v>
      </c>
      <c r="C33" s="288" t="s">
        <v>270</v>
      </c>
      <c r="D33" s="287" t="s">
        <v>271</v>
      </c>
      <c r="E33" s="185">
        <f>2895310.99</f>
        <v>2895310.99</v>
      </c>
      <c r="F33" s="186">
        <f>5075916.58</f>
        <v>5075916.58</v>
      </c>
      <c r="G33" s="186">
        <f>515035</f>
        <v>515035</v>
      </c>
      <c r="H33" s="187">
        <f>515034.42</f>
        <v>515034.42</v>
      </c>
      <c r="I33" s="188">
        <f>0</f>
        <v>0</v>
      </c>
      <c r="J33" s="189">
        <f>0</f>
        <v>0</v>
      </c>
      <c r="K33" s="189">
        <f>0</f>
        <v>0</v>
      </c>
      <c r="L33" s="189">
        <f>0</f>
        <v>0</v>
      </c>
      <c r="M33" s="189">
        <f>0</f>
        <v>0</v>
      </c>
      <c r="N33" s="189">
        <f>0</f>
        <v>0</v>
      </c>
      <c r="O33" s="189">
        <f>0</f>
        <v>0</v>
      </c>
      <c r="P33" s="189">
        <f>0</f>
        <v>0</v>
      </c>
      <c r="Q33" s="189">
        <f>0</f>
        <v>0</v>
      </c>
      <c r="R33" s="189">
        <f>0</f>
        <v>0</v>
      </c>
      <c r="S33" s="189">
        <f>0</f>
        <v>0</v>
      </c>
      <c r="T33" s="189">
        <f>0</f>
        <v>0</v>
      </c>
      <c r="U33" s="189">
        <f>0</f>
        <v>0</v>
      </c>
      <c r="V33" s="189">
        <f>0</f>
        <v>0</v>
      </c>
      <c r="W33" s="189">
        <f>0</f>
        <v>0</v>
      </c>
      <c r="X33" s="189">
        <f>0</f>
        <v>0</v>
      </c>
      <c r="Y33" s="189">
        <f>0</f>
        <v>0</v>
      </c>
      <c r="Z33" s="189">
        <f>0</f>
        <v>0</v>
      </c>
      <c r="AA33" s="189">
        <f>0</f>
        <v>0</v>
      </c>
      <c r="AB33" s="189">
        <f>0</f>
        <v>0</v>
      </c>
      <c r="AC33" s="189">
        <f>0</f>
        <v>0</v>
      </c>
      <c r="AD33" s="189">
        <f>0</f>
        <v>0</v>
      </c>
      <c r="AE33" s="189">
        <f>0</f>
        <v>0</v>
      </c>
      <c r="AF33" s="189">
        <f>0</f>
        <v>0</v>
      </c>
      <c r="AG33" s="189">
        <f>0</f>
        <v>0</v>
      </c>
      <c r="AH33" s="189">
        <f>0</f>
        <v>0</v>
      </c>
      <c r="AI33" s="189">
        <f>0</f>
        <v>0</v>
      </c>
      <c r="AJ33" s="189">
        <f>0</f>
        <v>0</v>
      </c>
      <c r="AK33" s="189">
        <f>0</f>
        <v>0</v>
      </c>
      <c r="AL33" s="190">
        <f>0</f>
        <v>0</v>
      </c>
    </row>
    <row r="34" spans="1:39" outlineLevel="3">
      <c r="A34" s="264" t="s">
        <v>202</v>
      </c>
      <c r="B34" s="285" t="s">
        <v>272</v>
      </c>
      <c r="C34" s="288" t="s">
        <v>268</v>
      </c>
      <c r="D34" s="289" t="s">
        <v>263</v>
      </c>
      <c r="E34" s="185">
        <f>0</f>
        <v>0</v>
      </c>
      <c r="F34" s="186">
        <f>4228860.85</f>
        <v>4228860.8499999996</v>
      </c>
      <c r="G34" s="186">
        <f>0</f>
        <v>0</v>
      </c>
      <c r="H34" s="187">
        <f>0</f>
        <v>0</v>
      </c>
      <c r="I34" s="188">
        <f>0</f>
        <v>0</v>
      </c>
      <c r="J34" s="189">
        <f>0</f>
        <v>0</v>
      </c>
      <c r="K34" s="189">
        <f>0</f>
        <v>0</v>
      </c>
      <c r="L34" s="189">
        <f>0</f>
        <v>0</v>
      </c>
      <c r="M34" s="189">
        <f>0</f>
        <v>0</v>
      </c>
      <c r="N34" s="189">
        <f>0</f>
        <v>0</v>
      </c>
      <c r="O34" s="189">
        <f>0</f>
        <v>0</v>
      </c>
      <c r="P34" s="189">
        <f>0</f>
        <v>0</v>
      </c>
      <c r="Q34" s="189">
        <f>0</f>
        <v>0</v>
      </c>
      <c r="R34" s="189">
        <f>0</f>
        <v>0</v>
      </c>
      <c r="S34" s="189">
        <f>0</f>
        <v>0</v>
      </c>
      <c r="T34" s="189">
        <f>0</f>
        <v>0</v>
      </c>
      <c r="U34" s="189">
        <f>0</f>
        <v>0</v>
      </c>
      <c r="V34" s="189">
        <f>0</f>
        <v>0</v>
      </c>
      <c r="W34" s="189">
        <f>0</f>
        <v>0</v>
      </c>
      <c r="X34" s="189">
        <f>0</f>
        <v>0</v>
      </c>
      <c r="Y34" s="189">
        <f>0</f>
        <v>0</v>
      </c>
      <c r="Z34" s="189">
        <f>0</f>
        <v>0</v>
      </c>
      <c r="AA34" s="189">
        <f>0</f>
        <v>0</v>
      </c>
      <c r="AB34" s="189">
        <f>0</f>
        <v>0</v>
      </c>
      <c r="AC34" s="189">
        <f>0</f>
        <v>0</v>
      </c>
      <c r="AD34" s="189">
        <f>0</f>
        <v>0</v>
      </c>
      <c r="AE34" s="189">
        <f>0</f>
        <v>0</v>
      </c>
      <c r="AF34" s="189">
        <f>0</f>
        <v>0</v>
      </c>
      <c r="AG34" s="189">
        <f>0</f>
        <v>0</v>
      </c>
      <c r="AH34" s="189">
        <f>0</f>
        <v>0</v>
      </c>
      <c r="AI34" s="189">
        <f>0</f>
        <v>0</v>
      </c>
      <c r="AJ34" s="189">
        <f>0</f>
        <v>0</v>
      </c>
      <c r="AK34" s="189">
        <f>0</f>
        <v>0</v>
      </c>
      <c r="AL34" s="190">
        <f>0</f>
        <v>0</v>
      </c>
    </row>
    <row r="35" spans="1:39" outlineLevel="2">
      <c r="A35" s="264" t="s">
        <v>202</v>
      </c>
      <c r="B35" s="285" t="s">
        <v>273</v>
      </c>
      <c r="C35" s="288" t="s">
        <v>274</v>
      </c>
      <c r="D35" s="287" t="s">
        <v>274</v>
      </c>
      <c r="E35" s="185">
        <f>0</f>
        <v>0</v>
      </c>
      <c r="F35" s="186">
        <f>0</f>
        <v>0</v>
      </c>
      <c r="G35" s="186">
        <f>7263</f>
        <v>7263</v>
      </c>
      <c r="H35" s="187">
        <f>7252.5</f>
        <v>7252.5</v>
      </c>
      <c r="I35" s="188">
        <f>0</f>
        <v>0</v>
      </c>
      <c r="J35" s="189">
        <f>0</f>
        <v>0</v>
      </c>
      <c r="K35" s="189">
        <f>0</f>
        <v>0</v>
      </c>
      <c r="L35" s="189">
        <f>0</f>
        <v>0</v>
      </c>
      <c r="M35" s="189">
        <f>0</f>
        <v>0</v>
      </c>
      <c r="N35" s="189">
        <f>0</f>
        <v>0</v>
      </c>
      <c r="O35" s="189">
        <f>0</f>
        <v>0</v>
      </c>
      <c r="P35" s="189">
        <f>0</f>
        <v>0</v>
      </c>
      <c r="Q35" s="189">
        <f>0</f>
        <v>0</v>
      </c>
      <c r="R35" s="189">
        <f>0</f>
        <v>0</v>
      </c>
      <c r="S35" s="189">
        <f>0</f>
        <v>0</v>
      </c>
      <c r="T35" s="189">
        <f>0</f>
        <v>0</v>
      </c>
      <c r="U35" s="189">
        <f>0</f>
        <v>0</v>
      </c>
      <c r="V35" s="189">
        <f>0</f>
        <v>0</v>
      </c>
      <c r="W35" s="189">
        <f>0</f>
        <v>0</v>
      </c>
      <c r="X35" s="189">
        <f>0</f>
        <v>0</v>
      </c>
      <c r="Y35" s="189">
        <f>0</f>
        <v>0</v>
      </c>
      <c r="Z35" s="189">
        <f>0</f>
        <v>0</v>
      </c>
      <c r="AA35" s="189">
        <f>0</f>
        <v>0</v>
      </c>
      <c r="AB35" s="189">
        <f>0</f>
        <v>0</v>
      </c>
      <c r="AC35" s="189">
        <f>0</f>
        <v>0</v>
      </c>
      <c r="AD35" s="189">
        <f>0</f>
        <v>0</v>
      </c>
      <c r="AE35" s="189">
        <f>0</f>
        <v>0</v>
      </c>
      <c r="AF35" s="189">
        <f>0</f>
        <v>0</v>
      </c>
      <c r="AG35" s="189">
        <f>0</f>
        <v>0</v>
      </c>
      <c r="AH35" s="189">
        <f>0</f>
        <v>0</v>
      </c>
      <c r="AI35" s="189">
        <f>0</f>
        <v>0</v>
      </c>
      <c r="AJ35" s="189">
        <f>0</f>
        <v>0</v>
      </c>
      <c r="AK35" s="189">
        <f>0</f>
        <v>0</v>
      </c>
      <c r="AL35" s="190">
        <f>0</f>
        <v>0</v>
      </c>
    </row>
    <row r="36" spans="1:39" outlineLevel="3">
      <c r="A36" s="264" t="s">
        <v>202</v>
      </c>
      <c r="B36" s="285" t="s">
        <v>275</v>
      </c>
      <c r="C36" s="288" t="s">
        <v>268</v>
      </c>
      <c r="D36" s="289" t="s">
        <v>263</v>
      </c>
      <c r="E36" s="185">
        <f>0</f>
        <v>0</v>
      </c>
      <c r="F36" s="186">
        <f>0</f>
        <v>0</v>
      </c>
      <c r="G36" s="186">
        <f>0</f>
        <v>0</v>
      </c>
      <c r="H36" s="187">
        <f>0</f>
        <v>0</v>
      </c>
      <c r="I36" s="188">
        <f>0</f>
        <v>0</v>
      </c>
      <c r="J36" s="189">
        <f>0</f>
        <v>0</v>
      </c>
      <c r="K36" s="189">
        <f>0</f>
        <v>0</v>
      </c>
      <c r="L36" s="189">
        <f>0</f>
        <v>0</v>
      </c>
      <c r="M36" s="189">
        <f>0</f>
        <v>0</v>
      </c>
      <c r="N36" s="189">
        <f>0</f>
        <v>0</v>
      </c>
      <c r="O36" s="189">
        <f>0</f>
        <v>0</v>
      </c>
      <c r="P36" s="189">
        <f>0</f>
        <v>0</v>
      </c>
      <c r="Q36" s="189">
        <f>0</f>
        <v>0</v>
      </c>
      <c r="R36" s="189">
        <f>0</f>
        <v>0</v>
      </c>
      <c r="S36" s="189">
        <f>0</f>
        <v>0</v>
      </c>
      <c r="T36" s="189">
        <f>0</f>
        <v>0</v>
      </c>
      <c r="U36" s="189">
        <f>0</f>
        <v>0</v>
      </c>
      <c r="V36" s="189">
        <f>0</f>
        <v>0</v>
      </c>
      <c r="W36" s="189">
        <f>0</f>
        <v>0</v>
      </c>
      <c r="X36" s="189">
        <f>0</f>
        <v>0</v>
      </c>
      <c r="Y36" s="189">
        <f>0</f>
        <v>0</v>
      </c>
      <c r="Z36" s="189">
        <f>0</f>
        <v>0</v>
      </c>
      <c r="AA36" s="189">
        <f>0</f>
        <v>0</v>
      </c>
      <c r="AB36" s="189">
        <f>0</f>
        <v>0</v>
      </c>
      <c r="AC36" s="189">
        <f>0</f>
        <v>0</v>
      </c>
      <c r="AD36" s="189">
        <f>0</f>
        <v>0</v>
      </c>
      <c r="AE36" s="189">
        <f>0</f>
        <v>0</v>
      </c>
      <c r="AF36" s="189">
        <f>0</f>
        <v>0</v>
      </c>
      <c r="AG36" s="189">
        <f>0</f>
        <v>0</v>
      </c>
      <c r="AH36" s="189">
        <f>0</f>
        <v>0</v>
      </c>
      <c r="AI36" s="189">
        <f>0</f>
        <v>0</v>
      </c>
      <c r="AJ36" s="189">
        <f>0</f>
        <v>0</v>
      </c>
      <c r="AK36" s="189">
        <f>0</f>
        <v>0</v>
      </c>
      <c r="AL36" s="190">
        <f>0</f>
        <v>0</v>
      </c>
    </row>
    <row r="37" spans="1:39" ht="15" outlineLevel="1">
      <c r="A37" s="264" t="s">
        <v>202</v>
      </c>
      <c r="B37" s="281">
        <v>5</v>
      </c>
      <c r="C37" s="282" t="s">
        <v>276</v>
      </c>
      <c r="D37" s="283" t="s">
        <v>276</v>
      </c>
      <c r="E37" s="179">
        <f>1504978.76</f>
        <v>1504978.76</v>
      </c>
      <c r="F37" s="180">
        <f>1503605.29</f>
        <v>1503605.29</v>
      </c>
      <c r="G37" s="180">
        <f>1594521</f>
        <v>1594521</v>
      </c>
      <c r="H37" s="181">
        <f>1594516</f>
        <v>1594516</v>
      </c>
      <c r="I37" s="182">
        <f>1864521</f>
        <v>1864521</v>
      </c>
      <c r="J37" s="183">
        <f t="shared" ref="J37:N38" si="1">1953410</f>
        <v>1953410</v>
      </c>
      <c r="K37" s="183">
        <f t="shared" si="1"/>
        <v>1953410</v>
      </c>
      <c r="L37" s="183">
        <f t="shared" si="1"/>
        <v>1953410</v>
      </c>
      <c r="M37" s="183">
        <f t="shared" si="1"/>
        <v>1953410</v>
      </c>
      <c r="N37" s="183">
        <f t="shared" si="1"/>
        <v>1953410</v>
      </c>
      <c r="O37" s="183">
        <f>1913410</f>
        <v>1913410</v>
      </c>
      <c r="P37" s="183">
        <f>1010016</f>
        <v>1010016</v>
      </c>
      <c r="Q37" s="183">
        <f>358852</f>
        <v>358852</v>
      </c>
      <c r="R37" s="183">
        <f>358933.42</f>
        <v>358933.42</v>
      </c>
      <c r="S37" s="183">
        <f>0</f>
        <v>0</v>
      </c>
      <c r="T37" s="183">
        <f>0</f>
        <v>0</v>
      </c>
      <c r="U37" s="183">
        <f>0</f>
        <v>0</v>
      </c>
      <c r="V37" s="183">
        <f>0</f>
        <v>0</v>
      </c>
      <c r="W37" s="183">
        <f>0</f>
        <v>0</v>
      </c>
      <c r="X37" s="183">
        <f>0</f>
        <v>0</v>
      </c>
      <c r="Y37" s="183">
        <f>0</f>
        <v>0</v>
      </c>
      <c r="Z37" s="183">
        <f>0</f>
        <v>0</v>
      </c>
      <c r="AA37" s="183">
        <f>0</f>
        <v>0</v>
      </c>
      <c r="AB37" s="183">
        <f>0</f>
        <v>0</v>
      </c>
      <c r="AC37" s="183">
        <f>0</f>
        <v>0</v>
      </c>
      <c r="AD37" s="183">
        <f>0</f>
        <v>0</v>
      </c>
      <c r="AE37" s="183">
        <f>0</f>
        <v>0</v>
      </c>
      <c r="AF37" s="183">
        <f>0</f>
        <v>0</v>
      </c>
      <c r="AG37" s="183">
        <f>0</f>
        <v>0</v>
      </c>
      <c r="AH37" s="183">
        <f>0</f>
        <v>0</v>
      </c>
      <c r="AI37" s="183">
        <f>0</f>
        <v>0</v>
      </c>
      <c r="AJ37" s="183">
        <f>0</f>
        <v>0</v>
      </c>
      <c r="AK37" s="183">
        <f>0</f>
        <v>0</v>
      </c>
      <c r="AL37" s="184">
        <f>0</f>
        <v>0</v>
      </c>
      <c r="AM37" s="284"/>
    </row>
    <row r="38" spans="1:39" ht="24" outlineLevel="2">
      <c r="A38" s="264" t="s">
        <v>202</v>
      </c>
      <c r="B38" s="285" t="s">
        <v>277</v>
      </c>
      <c r="C38" s="288" t="s">
        <v>278</v>
      </c>
      <c r="D38" s="287" t="s">
        <v>279</v>
      </c>
      <c r="E38" s="185">
        <f>1504978.76</f>
        <v>1504978.76</v>
      </c>
      <c r="F38" s="186">
        <f>1503605.29</f>
        <v>1503605.29</v>
      </c>
      <c r="G38" s="186">
        <f>1594521</f>
        <v>1594521</v>
      </c>
      <c r="H38" s="187">
        <f>1594516</f>
        <v>1594516</v>
      </c>
      <c r="I38" s="188">
        <f>1864521</f>
        <v>1864521</v>
      </c>
      <c r="J38" s="189">
        <f t="shared" si="1"/>
        <v>1953410</v>
      </c>
      <c r="K38" s="189">
        <f t="shared" si="1"/>
        <v>1953410</v>
      </c>
      <c r="L38" s="189">
        <f t="shared" si="1"/>
        <v>1953410</v>
      </c>
      <c r="M38" s="189">
        <f t="shared" si="1"/>
        <v>1953410</v>
      </c>
      <c r="N38" s="189">
        <f t="shared" si="1"/>
        <v>1953410</v>
      </c>
      <c r="O38" s="189">
        <f>1913410</f>
        <v>1913410</v>
      </c>
      <c r="P38" s="189">
        <f>1010016</f>
        <v>1010016</v>
      </c>
      <c r="Q38" s="189">
        <f>358852</f>
        <v>358852</v>
      </c>
      <c r="R38" s="189">
        <f>358933.42</f>
        <v>358933.42</v>
      </c>
      <c r="S38" s="189">
        <f>0</f>
        <v>0</v>
      </c>
      <c r="T38" s="189">
        <f>0</f>
        <v>0</v>
      </c>
      <c r="U38" s="189">
        <f>0</f>
        <v>0</v>
      </c>
      <c r="V38" s="189">
        <f>0</f>
        <v>0</v>
      </c>
      <c r="W38" s="189">
        <f>0</f>
        <v>0</v>
      </c>
      <c r="X38" s="189">
        <f>0</f>
        <v>0</v>
      </c>
      <c r="Y38" s="189">
        <f>0</f>
        <v>0</v>
      </c>
      <c r="Z38" s="189">
        <f>0</f>
        <v>0</v>
      </c>
      <c r="AA38" s="189">
        <f>0</f>
        <v>0</v>
      </c>
      <c r="AB38" s="189">
        <f>0</f>
        <v>0</v>
      </c>
      <c r="AC38" s="189">
        <f>0</f>
        <v>0</v>
      </c>
      <c r="AD38" s="189">
        <f>0</f>
        <v>0</v>
      </c>
      <c r="AE38" s="189">
        <f>0</f>
        <v>0</v>
      </c>
      <c r="AF38" s="189">
        <f>0</f>
        <v>0</v>
      </c>
      <c r="AG38" s="189">
        <f>0</f>
        <v>0</v>
      </c>
      <c r="AH38" s="189">
        <f>0</f>
        <v>0</v>
      </c>
      <c r="AI38" s="189">
        <f>0</f>
        <v>0</v>
      </c>
      <c r="AJ38" s="189">
        <f>0</f>
        <v>0</v>
      </c>
      <c r="AK38" s="189">
        <f>0</f>
        <v>0</v>
      </c>
      <c r="AL38" s="190">
        <f>0</f>
        <v>0</v>
      </c>
    </row>
    <row r="39" spans="1:39" ht="36.75" customHeight="1" outlineLevel="3">
      <c r="A39" s="264" t="s">
        <v>202</v>
      </c>
      <c r="B39" s="285" t="s">
        <v>280</v>
      </c>
      <c r="C39" s="288" t="s">
        <v>281</v>
      </c>
      <c r="D39" s="289" t="s">
        <v>282</v>
      </c>
      <c r="E39" s="185">
        <f>160000</f>
        <v>160000</v>
      </c>
      <c r="F39" s="186">
        <f>401152.51</f>
        <v>401152.51</v>
      </c>
      <c r="G39" s="186">
        <f>318623</f>
        <v>318623</v>
      </c>
      <c r="H39" s="187">
        <f>318623.24</f>
        <v>318623.24</v>
      </c>
      <c r="I39" s="188">
        <f>564826.16</f>
        <v>564826.16</v>
      </c>
      <c r="J39" s="189">
        <f>0</f>
        <v>0</v>
      </c>
      <c r="K39" s="189">
        <f>0</f>
        <v>0</v>
      </c>
      <c r="L39" s="189">
        <f>0</f>
        <v>0</v>
      </c>
      <c r="M39" s="189">
        <f>0</f>
        <v>0</v>
      </c>
      <c r="N39" s="189">
        <f>0</f>
        <v>0</v>
      </c>
      <c r="O39" s="189">
        <f>0</f>
        <v>0</v>
      </c>
      <c r="P39" s="189">
        <f>0</f>
        <v>0</v>
      </c>
      <c r="Q39" s="189">
        <f>0</f>
        <v>0</v>
      </c>
      <c r="R39" s="189">
        <f>0</f>
        <v>0</v>
      </c>
      <c r="S39" s="189">
        <f>0</f>
        <v>0</v>
      </c>
      <c r="T39" s="189">
        <f>0</f>
        <v>0</v>
      </c>
      <c r="U39" s="189">
        <f>0</f>
        <v>0</v>
      </c>
      <c r="V39" s="189">
        <f>0</f>
        <v>0</v>
      </c>
      <c r="W39" s="189">
        <f>0</f>
        <v>0</v>
      </c>
      <c r="X39" s="189">
        <f>0</f>
        <v>0</v>
      </c>
      <c r="Y39" s="189">
        <f>0</f>
        <v>0</v>
      </c>
      <c r="Z39" s="189">
        <f>0</f>
        <v>0</v>
      </c>
      <c r="AA39" s="189">
        <f>0</f>
        <v>0</v>
      </c>
      <c r="AB39" s="189">
        <f>0</f>
        <v>0</v>
      </c>
      <c r="AC39" s="189">
        <f>0</f>
        <v>0</v>
      </c>
      <c r="AD39" s="189">
        <f>0</f>
        <v>0</v>
      </c>
      <c r="AE39" s="189">
        <f>0</f>
        <v>0</v>
      </c>
      <c r="AF39" s="189">
        <f>0</f>
        <v>0</v>
      </c>
      <c r="AG39" s="189">
        <f>0</f>
        <v>0</v>
      </c>
      <c r="AH39" s="189">
        <f>0</f>
        <v>0</v>
      </c>
      <c r="AI39" s="189">
        <f>0</f>
        <v>0</v>
      </c>
      <c r="AJ39" s="189">
        <f>0</f>
        <v>0</v>
      </c>
      <c r="AK39" s="189">
        <f>0</f>
        <v>0</v>
      </c>
      <c r="AL39" s="190">
        <f>0</f>
        <v>0</v>
      </c>
    </row>
    <row r="40" spans="1:39" ht="28.5" customHeight="1" outlineLevel="4">
      <c r="A40" s="264" t="s">
        <v>202</v>
      </c>
      <c r="B40" s="285" t="s">
        <v>283</v>
      </c>
      <c r="C40" s="288" t="s">
        <v>284</v>
      </c>
      <c r="D40" s="290" t="s">
        <v>285</v>
      </c>
      <c r="E40" s="185">
        <f>160000</f>
        <v>160000</v>
      </c>
      <c r="F40" s="186">
        <f>401152.51</f>
        <v>401152.51</v>
      </c>
      <c r="G40" s="186">
        <f>318623</f>
        <v>318623</v>
      </c>
      <c r="H40" s="187">
        <f>318623.24</f>
        <v>318623.24</v>
      </c>
      <c r="I40" s="188">
        <f>564826.16</f>
        <v>564826.16</v>
      </c>
      <c r="J40" s="189">
        <f>0</f>
        <v>0</v>
      </c>
      <c r="K40" s="189">
        <f>0</f>
        <v>0</v>
      </c>
      <c r="L40" s="189">
        <f>0</f>
        <v>0</v>
      </c>
      <c r="M40" s="189">
        <f>0</f>
        <v>0</v>
      </c>
      <c r="N40" s="189">
        <f>0</f>
        <v>0</v>
      </c>
      <c r="O40" s="189">
        <f>0</f>
        <v>0</v>
      </c>
      <c r="P40" s="189">
        <f>0</f>
        <v>0</v>
      </c>
      <c r="Q40" s="189">
        <f>0</f>
        <v>0</v>
      </c>
      <c r="R40" s="189">
        <f>0</f>
        <v>0</v>
      </c>
      <c r="S40" s="189">
        <f>0</f>
        <v>0</v>
      </c>
      <c r="T40" s="189">
        <f>0</f>
        <v>0</v>
      </c>
      <c r="U40" s="189">
        <f>0</f>
        <v>0</v>
      </c>
      <c r="V40" s="189">
        <f>0</f>
        <v>0</v>
      </c>
      <c r="W40" s="189">
        <f>0</f>
        <v>0</v>
      </c>
      <c r="X40" s="189">
        <f>0</f>
        <v>0</v>
      </c>
      <c r="Y40" s="189">
        <f>0</f>
        <v>0</v>
      </c>
      <c r="Z40" s="189">
        <f>0</f>
        <v>0</v>
      </c>
      <c r="AA40" s="189">
        <f>0</f>
        <v>0</v>
      </c>
      <c r="AB40" s="189">
        <f>0</f>
        <v>0</v>
      </c>
      <c r="AC40" s="189">
        <f>0</f>
        <v>0</v>
      </c>
      <c r="AD40" s="189">
        <f>0</f>
        <v>0</v>
      </c>
      <c r="AE40" s="189">
        <f>0</f>
        <v>0</v>
      </c>
      <c r="AF40" s="189">
        <f>0</f>
        <v>0</v>
      </c>
      <c r="AG40" s="189">
        <f>0</f>
        <v>0</v>
      </c>
      <c r="AH40" s="189">
        <f>0</f>
        <v>0</v>
      </c>
      <c r="AI40" s="189">
        <f>0</f>
        <v>0</v>
      </c>
      <c r="AJ40" s="189">
        <f>0</f>
        <v>0</v>
      </c>
      <c r="AK40" s="189">
        <f>0</f>
        <v>0</v>
      </c>
      <c r="AL40" s="190">
        <f>0</f>
        <v>0</v>
      </c>
    </row>
    <row r="41" spans="1:39" ht="24" customHeight="1" outlineLevel="4">
      <c r="A41" s="264" t="s">
        <v>202</v>
      </c>
      <c r="B41" s="285" t="s">
        <v>286</v>
      </c>
      <c r="C41" s="288" t="s">
        <v>287</v>
      </c>
      <c r="D41" s="290" t="s">
        <v>288</v>
      </c>
      <c r="E41" s="185">
        <f>0</f>
        <v>0</v>
      </c>
      <c r="F41" s="186">
        <f>0</f>
        <v>0</v>
      </c>
      <c r="G41" s="186">
        <f>0</f>
        <v>0</v>
      </c>
      <c r="H41" s="187">
        <f>0</f>
        <v>0</v>
      </c>
      <c r="I41" s="188">
        <f>0</f>
        <v>0</v>
      </c>
      <c r="J41" s="189">
        <f>0</f>
        <v>0</v>
      </c>
      <c r="K41" s="189">
        <f>0</f>
        <v>0</v>
      </c>
      <c r="L41" s="189">
        <f>0</f>
        <v>0</v>
      </c>
      <c r="M41" s="189">
        <f>0</f>
        <v>0</v>
      </c>
      <c r="N41" s="189">
        <f>0</f>
        <v>0</v>
      </c>
      <c r="O41" s="189">
        <f>0</f>
        <v>0</v>
      </c>
      <c r="P41" s="189">
        <f>0</f>
        <v>0</v>
      </c>
      <c r="Q41" s="189">
        <f>0</f>
        <v>0</v>
      </c>
      <c r="R41" s="189">
        <f>0</f>
        <v>0</v>
      </c>
      <c r="S41" s="189">
        <f>0</f>
        <v>0</v>
      </c>
      <c r="T41" s="189">
        <f>0</f>
        <v>0</v>
      </c>
      <c r="U41" s="189">
        <f>0</f>
        <v>0</v>
      </c>
      <c r="V41" s="189">
        <f>0</f>
        <v>0</v>
      </c>
      <c r="W41" s="189">
        <f>0</f>
        <v>0</v>
      </c>
      <c r="X41" s="189">
        <f>0</f>
        <v>0</v>
      </c>
      <c r="Y41" s="189">
        <f>0</f>
        <v>0</v>
      </c>
      <c r="Z41" s="189">
        <f>0</f>
        <v>0</v>
      </c>
      <c r="AA41" s="189">
        <f>0</f>
        <v>0</v>
      </c>
      <c r="AB41" s="189">
        <f>0</f>
        <v>0</v>
      </c>
      <c r="AC41" s="189">
        <f>0</f>
        <v>0</v>
      </c>
      <c r="AD41" s="189">
        <f>0</f>
        <v>0</v>
      </c>
      <c r="AE41" s="189">
        <f>0</f>
        <v>0</v>
      </c>
      <c r="AF41" s="189">
        <f>0</f>
        <v>0</v>
      </c>
      <c r="AG41" s="189">
        <f>0</f>
        <v>0</v>
      </c>
      <c r="AH41" s="189">
        <f>0</f>
        <v>0</v>
      </c>
      <c r="AI41" s="189">
        <f>0</f>
        <v>0</v>
      </c>
      <c r="AJ41" s="189">
        <f>0</f>
        <v>0</v>
      </c>
      <c r="AK41" s="189">
        <f>0</f>
        <v>0</v>
      </c>
      <c r="AL41" s="190">
        <f>0</f>
        <v>0</v>
      </c>
    </row>
    <row r="42" spans="1:39" ht="24.75" customHeight="1" outlineLevel="4">
      <c r="A42" s="264" t="s">
        <v>202</v>
      </c>
      <c r="B42" s="285" t="s">
        <v>289</v>
      </c>
      <c r="C42" s="288" t="s">
        <v>290</v>
      </c>
      <c r="D42" s="290" t="s">
        <v>291</v>
      </c>
      <c r="E42" s="185">
        <f>0</f>
        <v>0</v>
      </c>
      <c r="F42" s="186">
        <f>0</f>
        <v>0</v>
      </c>
      <c r="G42" s="186">
        <f>0</f>
        <v>0</v>
      </c>
      <c r="H42" s="187">
        <f>0</f>
        <v>0</v>
      </c>
      <c r="I42" s="188">
        <f>0</f>
        <v>0</v>
      </c>
      <c r="J42" s="189">
        <f>0</f>
        <v>0</v>
      </c>
      <c r="K42" s="189">
        <f>0</f>
        <v>0</v>
      </c>
      <c r="L42" s="189">
        <f>0</f>
        <v>0</v>
      </c>
      <c r="M42" s="189">
        <f>0</f>
        <v>0</v>
      </c>
      <c r="N42" s="189">
        <f>0</f>
        <v>0</v>
      </c>
      <c r="O42" s="189">
        <f>0</f>
        <v>0</v>
      </c>
      <c r="P42" s="189">
        <f>0</f>
        <v>0</v>
      </c>
      <c r="Q42" s="189">
        <f>0</f>
        <v>0</v>
      </c>
      <c r="R42" s="189">
        <f>0</f>
        <v>0</v>
      </c>
      <c r="S42" s="189">
        <f>0</f>
        <v>0</v>
      </c>
      <c r="T42" s="189">
        <f>0</f>
        <v>0</v>
      </c>
      <c r="U42" s="189">
        <f>0</f>
        <v>0</v>
      </c>
      <c r="V42" s="189">
        <f>0</f>
        <v>0</v>
      </c>
      <c r="W42" s="189">
        <f>0</f>
        <v>0</v>
      </c>
      <c r="X42" s="189">
        <f>0</f>
        <v>0</v>
      </c>
      <c r="Y42" s="189">
        <f>0</f>
        <v>0</v>
      </c>
      <c r="Z42" s="189">
        <f>0</f>
        <v>0</v>
      </c>
      <c r="AA42" s="189">
        <f>0</f>
        <v>0</v>
      </c>
      <c r="AB42" s="189">
        <f>0</f>
        <v>0</v>
      </c>
      <c r="AC42" s="189">
        <f>0</f>
        <v>0</v>
      </c>
      <c r="AD42" s="189">
        <f>0</f>
        <v>0</v>
      </c>
      <c r="AE42" s="189">
        <f>0</f>
        <v>0</v>
      </c>
      <c r="AF42" s="189">
        <f>0</f>
        <v>0</v>
      </c>
      <c r="AG42" s="189">
        <f>0</f>
        <v>0</v>
      </c>
      <c r="AH42" s="189">
        <f>0</f>
        <v>0</v>
      </c>
      <c r="AI42" s="189">
        <f>0</f>
        <v>0</v>
      </c>
      <c r="AJ42" s="189">
        <f>0</f>
        <v>0</v>
      </c>
      <c r="AK42" s="189">
        <f>0</f>
        <v>0</v>
      </c>
      <c r="AL42" s="190">
        <f>0</f>
        <v>0</v>
      </c>
    </row>
    <row r="43" spans="1:39" outlineLevel="2">
      <c r="B43" s="285" t="s">
        <v>292</v>
      </c>
      <c r="C43" s="288" t="s">
        <v>293</v>
      </c>
      <c r="D43" s="287" t="s">
        <v>293</v>
      </c>
      <c r="E43" s="185">
        <f>0</f>
        <v>0</v>
      </c>
      <c r="F43" s="186">
        <f>0</f>
        <v>0</v>
      </c>
      <c r="G43" s="186">
        <f>0</f>
        <v>0</v>
      </c>
      <c r="H43" s="187">
        <f>0</f>
        <v>0</v>
      </c>
      <c r="I43" s="188">
        <f>0</f>
        <v>0</v>
      </c>
      <c r="J43" s="189">
        <f>0</f>
        <v>0</v>
      </c>
      <c r="K43" s="189">
        <f>0</f>
        <v>0</v>
      </c>
      <c r="L43" s="189">
        <f>0</f>
        <v>0</v>
      </c>
      <c r="M43" s="189">
        <f>0</f>
        <v>0</v>
      </c>
      <c r="N43" s="189">
        <f>0</f>
        <v>0</v>
      </c>
      <c r="O43" s="189">
        <f>0</f>
        <v>0</v>
      </c>
      <c r="P43" s="189">
        <f>0</f>
        <v>0</v>
      </c>
      <c r="Q43" s="189">
        <f>0</f>
        <v>0</v>
      </c>
      <c r="R43" s="189">
        <f>0</f>
        <v>0</v>
      </c>
      <c r="S43" s="189">
        <f>0</f>
        <v>0</v>
      </c>
      <c r="T43" s="189">
        <f>0</f>
        <v>0</v>
      </c>
      <c r="U43" s="189">
        <f>0</f>
        <v>0</v>
      </c>
      <c r="V43" s="189">
        <f>0</f>
        <v>0</v>
      </c>
      <c r="W43" s="189">
        <f>0</f>
        <v>0</v>
      </c>
      <c r="X43" s="189">
        <f>0</f>
        <v>0</v>
      </c>
      <c r="Y43" s="189">
        <f>0</f>
        <v>0</v>
      </c>
      <c r="Z43" s="189">
        <f>0</f>
        <v>0</v>
      </c>
      <c r="AA43" s="189">
        <f>0</f>
        <v>0</v>
      </c>
      <c r="AB43" s="189">
        <f>0</f>
        <v>0</v>
      </c>
      <c r="AC43" s="189">
        <f>0</f>
        <v>0</v>
      </c>
      <c r="AD43" s="189">
        <f>0</f>
        <v>0</v>
      </c>
      <c r="AE43" s="189">
        <f>0</f>
        <v>0</v>
      </c>
      <c r="AF43" s="189">
        <f>0</f>
        <v>0</v>
      </c>
      <c r="AG43" s="189">
        <f>0</f>
        <v>0</v>
      </c>
      <c r="AH43" s="189">
        <f>0</f>
        <v>0</v>
      </c>
      <c r="AI43" s="189">
        <f>0</f>
        <v>0</v>
      </c>
      <c r="AJ43" s="189">
        <f>0</f>
        <v>0</v>
      </c>
      <c r="AK43" s="189">
        <f>0</f>
        <v>0</v>
      </c>
      <c r="AL43" s="190">
        <f>0</f>
        <v>0</v>
      </c>
    </row>
    <row r="44" spans="1:39" ht="15" outlineLevel="1">
      <c r="A44" s="264" t="s">
        <v>202</v>
      </c>
      <c r="B44" s="281">
        <v>6</v>
      </c>
      <c r="C44" s="282" t="s">
        <v>294</v>
      </c>
      <c r="D44" s="283" t="s">
        <v>294</v>
      </c>
      <c r="E44" s="179">
        <f>16516633.6</f>
        <v>16516633.6</v>
      </c>
      <c r="F44" s="180">
        <f>19551041.62</f>
        <v>19551041.620000001</v>
      </c>
      <c r="G44" s="180">
        <f>17650590</f>
        <v>17650590</v>
      </c>
      <c r="H44" s="181">
        <f>17851172.01</f>
        <v>17851172.010000002</v>
      </c>
      <c r="I44" s="182">
        <f>15106620.55</f>
        <v>15106620.550000001</v>
      </c>
      <c r="J44" s="183">
        <f>12473756.14</f>
        <v>12473756.140000001</v>
      </c>
      <c r="K44" s="183">
        <f>9840892.42</f>
        <v>9840892.4199999999</v>
      </c>
      <c r="L44" s="183">
        <f>7559017.42</f>
        <v>7559017.4199999999</v>
      </c>
      <c r="M44" s="183">
        <f>5594621.42</f>
        <v>5594621.4199999999</v>
      </c>
      <c r="N44" s="183">
        <f>3641211.42</f>
        <v>3641211.42</v>
      </c>
      <c r="O44" s="183">
        <f>1727801.42</f>
        <v>1727801.42</v>
      </c>
      <c r="P44" s="183">
        <f>717785.42</f>
        <v>717785.42</v>
      </c>
      <c r="Q44" s="183">
        <f>358933.42</f>
        <v>358933.42</v>
      </c>
      <c r="R44" s="183">
        <f>0</f>
        <v>0</v>
      </c>
      <c r="S44" s="183">
        <f>0</f>
        <v>0</v>
      </c>
      <c r="T44" s="183">
        <f>0</f>
        <v>0</v>
      </c>
      <c r="U44" s="183">
        <f>0</f>
        <v>0</v>
      </c>
      <c r="V44" s="183">
        <f>0</f>
        <v>0</v>
      </c>
      <c r="W44" s="183">
        <f>0</f>
        <v>0</v>
      </c>
      <c r="X44" s="183">
        <f>0</f>
        <v>0</v>
      </c>
      <c r="Y44" s="183">
        <f>0</f>
        <v>0</v>
      </c>
      <c r="Z44" s="183">
        <f>0</f>
        <v>0</v>
      </c>
      <c r="AA44" s="183">
        <f>0</f>
        <v>0</v>
      </c>
      <c r="AB44" s="183">
        <f>0</f>
        <v>0</v>
      </c>
      <c r="AC44" s="183">
        <f>0</f>
        <v>0</v>
      </c>
      <c r="AD44" s="183">
        <f>0</f>
        <v>0</v>
      </c>
      <c r="AE44" s="183">
        <f>0</f>
        <v>0</v>
      </c>
      <c r="AF44" s="183">
        <f>0</f>
        <v>0</v>
      </c>
      <c r="AG44" s="183">
        <f>0</f>
        <v>0</v>
      </c>
      <c r="AH44" s="183">
        <f>0</f>
        <v>0</v>
      </c>
      <c r="AI44" s="183">
        <f>0</f>
        <v>0</v>
      </c>
      <c r="AJ44" s="183">
        <f>0</f>
        <v>0</v>
      </c>
      <c r="AK44" s="183">
        <f>0</f>
        <v>0</v>
      </c>
      <c r="AL44" s="184">
        <f>0</f>
        <v>0</v>
      </c>
      <c r="AM44" s="284"/>
    </row>
    <row r="45" spans="1:39" ht="48" outlineLevel="1">
      <c r="B45" s="281">
        <v>7</v>
      </c>
      <c r="C45" s="282" t="s">
        <v>295</v>
      </c>
      <c r="D45" s="283" t="s">
        <v>295</v>
      </c>
      <c r="E45" s="179">
        <f>0</f>
        <v>0</v>
      </c>
      <c r="F45" s="180">
        <f>0</f>
        <v>0</v>
      </c>
      <c r="G45" s="180">
        <f>0</f>
        <v>0</v>
      </c>
      <c r="H45" s="181">
        <f>0</f>
        <v>0</v>
      </c>
      <c r="I45" s="182">
        <f>0</f>
        <v>0</v>
      </c>
      <c r="J45" s="183">
        <f>0</f>
        <v>0</v>
      </c>
      <c r="K45" s="183">
        <f>0</f>
        <v>0</v>
      </c>
      <c r="L45" s="183">
        <f>0</f>
        <v>0</v>
      </c>
      <c r="M45" s="183">
        <f>0</f>
        <v>0</v>
      </c>
      <c r="N45" s="183">
        <f>0</f>
        <v>0</v>
      </c>
      <c r="O45" s="183">
        <f>0</f>
        <v>0</v>
      </c>
      <c r="P45" s="183">
        <f>0</f>
        <v>0</v>
      </c>
      <c r="Q45" s="183">
        <f>0</f>
        <v>0</v>
      </c>
      <c r="R45" s="183">
        <f>0</f>
        <v>0</v>
      </c>
      <c r="S45" s="183">
        <f>0</f>
        <v>0</v>
      </c>
      <c r="T45" s="183">
        <f>0</f>
        <v>0</v>
      </c>
      <c r="U45" s="183">
        <f>0</f>
        <v>0</v>
      </c>
      <c r="V45" s="183">
        <f>0</f>
        <v>0</v>
      </c>
      <c r="W45" s="183">
        <f>0</f>
        <v>0</v>
      </c>
      <c r="X45" s="183">
        <f>0</f>
        <v>0</v>
      </c>
      <c r="Y45" s="183">
        <f>0</f>
        <v>0</v>
      </c>
      <c r="Z45" s="183">
        <f>0</f>
        <v>0</v>
      </c>
      <c r="AA45" s="183">
        <f>0</f>
        <v>0</v>
      </c>
      <c r="AB45" s="183">
        <f>0</f>
        <v>0</v>
      </c>
      <c r="AC45" s="183">
        <f>0</f>
        <v>0</v>
      </c>
      <c r="AD45" s="183">
        <f>0</f>
        <v>0</v>
      </c>
      <c r="AE45" s="183">
        <f>0</f>
        <v>0</v>
      </c>
      <c r="AF45" s="183">
        <f>0</f>
        <v>0</v>
      </c>
      <c r="AG45" s="183">
        <f>0</f>
        <v>0</v>
      </c>
      <c r="AH45" s="183">
        <f>0</f>
        <v>0</v>
      </c>
      <c r="AI45" s="183">
        <f>0</f>
        <v>0</v>
      </c>
      <c r="AJ45" s="183">
        <f>0</f>
        <v>0</v>
      </c>
      <c r="AK45" s="183">
        <f>0</f>
        <v>0</v>
      </c>
      <c r="AL45" s="184">
        <f>0</f>
        <v>0</v>
      </c>
      <c r="AM45" s="284"/>
    </row>
    <row r="46" spans="1:39" ht="24" outlineLevel="1">
      <c r="B46" s="281">
        <v>8</v>
      </c>
      <c r="C46" s="282" t="s">
        <v>296</v>
      </c>
      <c r="D46" s="283" t="s">
        <v>296</v>
      </c>
      <c r="E46" s="191" t="s">
        <v>202</v>
      </c>
      <c r="F46" s="192" t="s">
        <v>202</v>
      </c>
      <c r="G46" s="192" t="s">
        <v>202</v>
      </c>
      <c r="H46" s="193" t="s">
        <v>202</v>
      </c>
      <c r="I46" s="194" t="s">
        <v>202</v>
      </c>
      <c r="J46" s="195" t="s">
        <v>202</v>
      </c>
      <c r="K46" s="195" t="s">
        <v>202</v>
      </c>
      <c r="L46" s="195" t="s">
        <v>202</v>
      </c>
      <c r="M46" s="195" t="s">
        <v>202</v>
      </c>
      <c r="N46" s="195" t="s">
        <v>202</v>
      </c>
      <c r="O46" s="195" t="s">
        <v>202</v>
      </c>
      <c r="P46" s="195" t="s">
        <v>202</v>
      </c>
      <c r="Q46" s="195" t="s">
        <v>202</v>
      </c>
      <c r="R46" s="195" t="s">
        <v>202</v>
      </c>
      <c r="S46" s="195" t="s">
        <v>202</v>
      </c>
      <c r="T46" s="195" t="s">
        <v>202</v>
      </c>
      <c r="U46" s="195" t="s">
        <v>202</v>
      </c>
      <c r="V46" s="195" t="s">
        <v>202</v>
      </c>
      <c r="W46" s="195" t="s">
        <v>202</v>
      </c>
      <c r="X46" s="195" t="s">
        <v>202</v>
      </c>
      <c r="Y46" s="195" t="s">
        <v>202</v>
      </c>
      <c r="Z46" s="195" t="s">
        <v>202</v>
      </c>
      <c r="AA46" s="195" t="s">
        <v>202</v>
      </c>
      <c r="AB46" s="195" t="s">
        <v>202</v>
      </c>
      <c r="AC46" s="195" t="s">
        <v>202</v>
      </c>
      <c r="AD46" s="195" t="s">
        <v>202</v>
      </c>
      <c r="AE46" s="195" t="s">
        <v>202</v>
      </c>
      <c r="AF46" s="195" t="s">
        <v>202</v>
      </c>
      <c r="AG46" s="195" t="s">
        <v>202</v>
      </c>
      <c r="AH46" s="195" t="s">
        <v>202</v>
      </c>
      <c r="AI46" s="195" t="s">
        <v>202</v>
      </c>
      <c r="AJ46" s="195" t="s">
        <v>202</v>
      </c>
      <c r="AK46" s="195" t="s">
        <v>202</v>
      </c>
      <c r="AL46" s="196" t="s">
        <v>202</v>
      </c>
      <c r="AM46" s="284"/>
    </row>
    <row r="47" spans="1:39" ht="16.5" customHeight="1" outlineLevel="2">
      <c r="B47" s="285" t="s">
        <v>297</v>
      </c>
      <c r="C47" s="288" t="s">
        <v>298</v>
      </c>
      <c r="D47" s="287" t="s">
        <v>299</v>
      </c>
      <c r="E47" s="185">
        <f>1280803.67</f>
        <v>1280803.67</v>
      </c>
      <c r="F47" s="186">
        <f>1638980.14</f>
        <v>1638980.14</v>
      </c>
      <c r="G47" s="186">
        <f>948815</f>
        <v>948815</v>
      </c>
      <c r="H47" s="187">
        <f>1649640.47</f>
        <v>1649640.47</v>
      </c>
      <c r="I47" s="188">
        <f>1403653.91</f>
        <v>1403653.91</v>
      </c>
      <c r="J47" s="189">
        <f>2191739</f>
        <v>2191739</v>
      </c>
      <c r="K47" s="189">
        <f>2691027</f>
        <v>2691027</v>
      </c>
      <c r="L47" s="189">
        <f>3183891</f>
        <v>3183891</v>
      </c>
      <c r="M47" s="189">
        <f>3623410</f>
        <v>3623410</v>
      </c>
      <c r="N47" s="189">
        <f>4310210</f>
        <v>4310210</v>
      </c>
      <c r="O47" s="189">
        <f>4872846</f>
        <v>4872846</v>
      </c>
      <c r="P47" s="189">
        <f>5456562</f>
        <v>5456562</v>
      </c>
      <c r="Q47" s="189">
        <f>5671276</f>
        <v>5671276</v>
      </c>
      <c r="R47" s="189">
        <f>5977603.42</f>
        <v>5977603.4199999999</v>
      </c>
      <c r="S47" s="189">
        <f>0</f>
        <v>0</v>
      </c>
      <c r="T47" s="189">
        <f>0</f>
        <v>0</v>
      </c>
      <c r="U47" s="189">
        <f>0</f>
        <v>0</v>
      </c>
      <c r="V47" s="189">
        <f>0</f>
        <v>0</v>
      </c>
      <c r="W47" s="189">
        <f>0</f>
        <v>0</v>
      </c>
      <c r="X47" s="189">
        <f>0</f>
        <v>0</v>
      </c>
      <c r="Y47" s="189">
        <f>0</f>
        <v>0</v>
      </c>
      <c r="Z47" s="189">
        <f>0</f>
        <v>0</v>
      </c>
      <c r="AA47" s="189">
        <f>0</f>
        <v>0</v>
      </c>
      <c r="AB47" s="189">
        <f>0</f>
        <v>0</v>
      </c>
      <c r="AC47" s="189">
        <f>0</f>
        <v>0</v>
      </c>
      <c r="AD47" s="189">
        <f>0</f>
        <v>0</v>
      </c>
      <c r="AE47" s="189">
        <f>0</f>
        <v>0</v>
      </c>
      <c r="AF47" s="189">
        <f>0</f>
        <v>0</v>
      </c>
      <c r="AG47" s="189">
        <f>0</f>
        <v>0</v>
      </c>
      <c r="AH47" s="189">
        <f>0</f>
        <v>0</v>
      </c>
      <c r="AI47" s="189">
        <f>0</f>
        <v>0</v>
      </c>
      <c r="AJ47" s="189">
        <f>0</f>
        <v>0</v>
      </c>
      <c r="AK47" s="189">
        <f>0</f>
        <v>0</v>
      </c>
      <c r="AL47" s="190">
        <f>0</f>
        <v>0</v>
      </c>
    </row>
    <row r="48" spans="1:39" ht="24.75" customHeight="1" outlineLevel="2">
      <c r="B48" s="285" t="s">
        <v>300</v>
      </c>
      <c r="C48" s="288" t="s">
        <v>301</v>
      </c>
      <c r="D48" s="287" t="s">
        <v>302</v>
      </c>
      <c r="E48" s="185">
        <f>1280803.67</f>
        <v>1280803.67</v>
      </c>
      <c r="F48" s="186">
        <f>2961358.14</f>
        <v>2961358.14</v>
      </c>
      <c r="G48" s="186">
        <f>1607377</f>
        <v>1607377</v>
      </c>
      <c r="H48" s="187">
        <f>2308202.47</f>
        <v>2308202.4700000002</v>
      </c>
      <c r="I48" s="188">
        <f>1403653.91</f>
        <v>1403653.91</v>
      </c>
      <c r="J48" s="189">
        <f>2191739</f>
        <v>2191739</v>
      </c>
      <c r="K48" s="189">
        <f>2691027</f>
        <v>2691027</v>
      </c>
      <c r="L48" s="189">
        <f>3183891</f>
        <v>3183891</v>
      </c>
      <c r="M48" s="189">
        <f>3623410</f>
        <v>3623410</v>
      </c>
      <c r="N48" s="189">
        <f>4310210</f>
        <v>4310210</v>
      </c>
      <c r="O48" s="189">
        <f>4872846</f>
        <v>4872846</v>
      </c>
      <c r="P48" s="189">
        <f>5456562</f>
        <v>5456562</v>
      </c>
      <c r="Q48" s="189">
        <f>5671276</f>
        <v>5671276</v>
      </c>
      <c r="R48" s="189">
        <f>5977603.42</f>
        <v>5977603.4199999999</v>
      </c>
      <c r="S48" s="189">
        <f>0</f>
        <v>0</v>
      </c>
      <c r="T48" s="189">
        <f>0</f>
        <v>0</v>
      </c>
      <c r="U48" s="189">
        <f>0</f>
        <v>0</v>
      </c>
      <c r="V48" s="189">
        <f>0</f>
        <v>0</v>
      </c>
      <c r="W48" s="189">
        <f>0</f>
        <v>0</v>
      </c>
      <c r="X48" s="189">
        <f>0</f>
        <v>0</v>
      </c>
      <c r="Y48" s="189">
        <f>0</f>
        <v>0</v>
      </c>
      <c r="Z48" s="189">
        <f>0</f>
        <v>0</v>
      </c>
      <c r="AA48" s="189">
        <f>0</f>
        <v>0</v>
      </c>
      <c r="AB48" s="189">
        <f>0</f>
        <v>0</v>
      </c>
      <c r="AC48" s="189">
        <f>0</f>
        <v>0</v>
      </c>
      <c r="AD48" s="189">
        <f>0</f>
        <v>0</v>
      </c>
      <c r="AE48" s="189">
        <f>0</f>
        <v>0</v>
      </c>
      <c r="AF48" s="189">
        <f>0</f>
        <v>0</v>
      </c>
      <c r="AG48" s="189">
        <f>0</f>
        <v>0</v>
      </c>
      <c r="AH48" s="189">
        <f>0</f>
        <v>0</v>
      </c>
      <c r="AI48" s="189">
        <f>0</f>
        <v>0</v>
      </c>
      <c r="AJ48" s="189">
        <f>0</f>
        <v>0</v>
      </c>
      <c r="AK48" s="189">
        <f>0</f>
        <v>0</v>
      </c>
      <c r="AL48" s="190">
        <f>0</f>
        <v>0</v>
      </c>
    </row>
    <row r="49" spans="1:39" ht="15" outlineLevel="1">
      <c r="A49" s="264" t="s">
        <v>202</v>
      </c>
      <c r="B49" s="281">
        <v>9</v>
      </c>
      <c r="C49" s="282" t="s">
        <v>303</v>
      </c>
      <c r="D49" s="283" t="s">
        <v>303</v>
      </c>
      <c r="E49" s="191" t="s">
        <v>202</v>
      </c>
      <c r="F49" s="192" t="s">
        <v>202</v>
      </c>
      <c r="G49" s="192" t="s">
        <v>202</v>
      </c>
      <c r="H49" s="193" t="s">
        <v>202</v>
      </c>
      <c r="I49" s="194" t="s">
        <v>202</v>
      </c>
      <c r="J49" s="195" t="s">
        <v>202</v>
      </c>
      <c r="K49" s="195" t="s">
        <v>202</v>
      </c>
      <c r="L49" s="195" t="s">
        <v>202</v>
      </c>
      <c r="M49" s="195" t="s">
        <v>202</v>
      </c>
      <c r="N49" s="195" t="s">
        <v>202</v>
      </c>
      <c r="O49" s="195" t="s">
        <v>202</v>
      </c>
      <c r="P49" s="195" t="s">
        <v>202</v>
      </c>
      <c r="Q49" s="195" t="s">
        <v>202</v>
      </c>
      <c r="R49" s="195" t="s">
        <v>202</v>
      </c>
      <c r="S49" s="195" t="s">
        <v>202</v>
      </c>
      <c r="T49" s="195" t="s">
        <v>202</v>
      </c>
      <c r="U49" s="195" t="s">
        <v>202</v>
      </c>
      <c r="V49" s="195" t="s">
        <v>202</v>
      </c>
      <c r="W49" s="195" t="s">
        <v>202</v>
      </c>
      <c r="X49" s="195" t="s">
        <v>202</v>
      </c>
      <c r="Y49" s="195" t="s">
        <v>202</v>
      </c>
      <c r="Z49" s="195" t="s">
        <v>202</v>
      </c>
      <c r="AA49" s="195" t="s">
        <v>202</v>
      </c>
      <c r="AB49" s="195" t="s">
        <v>202</v>
      </c>
      <c r="AC49" s="195" t="s">
        <v>202</v>
      </c>
      <c r="AD49" s="195" t="s">
        <v>202</v>
      </c>
      <c r="AE49" s="195" t="s">
        <v>202</v>
      </c>
      <c r="AF49" s="195" t="s">
        <v>202</v>
      </c>
      <c r="AG49" s="195" t="s">
        <v>202</v>
      </c>
      <c r="AH49" s="195" t="s">
        <v>202</v>
      </c>
      <c r="AI49" s="195" t="s">
        <v>202</v>
      </c>
      <c r="AJ49" s="195" t="s">
        <v>202</v>
      </c>
      <c r="AK49" s="195" t="s">
        <v>202</v>
      </c>
      <c r="AL49" s="196" t="s">
        <v>202</v>
      </c>
      <c r="AM49" s="284"/>
    </row>
    <row r="50" spans="1:39" ht="48" outlineLevel="2">
      <c r="A50" s="264" t="s">
        <v>202</v>
      </c>
      <c r="B50" s="285" t="s">
        <v>304</v>
      </c>
      <c r="C50" s="288" t="s">
        <v>305</v>
      </c>
      <c r="D50" s="287" t="s">
        <v>306</v>
      </c>
      <c r="E50" s="197">
        <f>0.1181</f>
        <v>0.1181</v>
      </c>
      <c r="F50" s="198">
        <f>0.1295</f>
        <v>0.1295</v>
      </c>
      <c r="G50" s="198">
        <f>0.1116</f>
        <v>0.1116</v>
      </c>
      <c r="H50" s="199">
        <f>0.124</f>
        <v>0.124</v>
      </c>
      <c r="I50" s="200">
        <f>0.1246</f>
        <v>0.1246</v>
      </c>
      <c r="J50" s="201">
        <f>0.1303</f>
        <v>0.1303</v>
      </c>
      <c r="K50" s="201">
        <f>0.122</f>
        <v>0.122</v>
      </c>
      <c r="L50" s="201">
        <f>0.1108</f>
        <v>0.1108</v>
      </c>
      <c r="M50" s="201">
        <f>0.1041</f>
        <v>0.1041</v>
      </c>
      <c r="N50" s="201">
        <f>0.0941</f>
        <v>9.4100000000000003E-2</v>
      </c>
      <c r="O50" s="201">
        <f>0.0854</f>
        <v>8.5400000000000004E-2</v>
      </c>
      <c r="P50" s="201">
        <f>0.04</f>
        <v>0.04</v>
      </c>
      <c r="Q50" s="201">
        <f>0.0127</f>
        <v>1.2699999999999999E-2</v>
      </c>
      <c r="R50" s="201">
        <f>0.0118</f>
        <v>1.18E-2</v>
      </c>
      <c r="S50" s="201">
        <f>0</f>
        <v>0</v>
      </c>
      <c r="T50" s="201">
        <f>0</f>
        <v>0</v>
      </c>
      <c r="U50" s="201">
        <f>0</f>
        <v>0</v>
      </c>
      <c r="V50" s="201">
        <f>0</f>
        <v>0</v>
      </c>
      <c r="W50" s="201">
        <f>0</f>
        <v>0</v>
      </c>
      <c r="X50" s="201">
        <f>0</f>
        <v>0</v>
      </c>
      <c r="Y50" s="201">
        <f>0</f>
        <v>0</v>
      </c>
      <c r="Z50" s="201">
        <f>0</f>
        <v>0</v>
      </c>
      <c r="AA50" s="201">
        <f>0</f>
        <v>0</v>
      </c>
      <c r="AB50" s="201">
        <f>0</f>
        <v>0</v>
      </c>
      <c r="AC50" s="201">
        <f>0</f>
        <v>0</v>
      </c>
      <c r="AD50" s="201">
        <f>0</f>
        <v>0</v>
      </c>
      <c r="AE50" s="201">
        <f>0</f>
        <v>0</v>
      </c>
      <c r="AF50" s="201">
        <f>0</f>
        <v>0</v>
      </c>
      <c r="AG50" s="201">
        <f>0</f>
        <v>0</v>
      </c>
      <c r="AH50" s="201">
        <f>0</f>
        <v>0</v>
      </c>
      <c r="AI50" s="201">
        <f>0</f>
        <v>0</v>
      </c>
      <c r="AJ50" s="201">
        <f>0</f>
        <v>0</v>
      </c>
      <c r="AK50" s="201">
        <f>0</f>
        <v>0</v>
      </c>
      <c r="AL50" s="202">
        <f>0</f>
        <v>0</v>
      </c>
    </row>
    <row r="51" spans="1:39" ht="48" outlineLevel="2">
      <c r="A51" s="264" t="s">
        <v>202</v>
      </c>
      <c r="B51" s="285" t="s">
        <v>307</v>
      </c>
      <c r="C51" s="288" t="s">
        <v>308</v>
      </c>
      <c r="D51" s="287" t="s">
        <v>309</v>
      </c>
      <c r="E51" s="197">
        <f>0.1095</f>
        <v>0.1095</v>
      </c>
      <c r="F51" s="198">
        <f>0.1097</f>
        <v>0.10970000000000001</v>
      </c>
      <c r="G51" s="198">
        <f>0.0984</f>
        <v>9.8400000000000001E-2</v>
      </c>
      <c r="H51" s="199">
        <f>0.1082</f>
        <v>0.1082</v>
      </c>
      <c r="I51" s="200">
        <f>0.0819</f>
        <v>8.1900000000000001E-2</v>
      </c>
      <c r="J51" s="201">
        <f>0.1303</f>
        <v>0.1303</v>
      </c>
      <c r="K51" s="201">
        <f>0.122</f>
        <v>0.122</v>
      </c>
      <c r="L51" s="201">
        <f>0.1108</f>
        <v>0.1108</v>
      </c>
      <c r="M51" s="201">
        <f>0.1041</f>
        <v>0.1041</v>
      </c>
      <c r="N51" s="201">
        <f>0.0941</f>
        <v>9.4100000000000003E-2</v>
      </c>
      <c r="O51" s="201">
        <f>0.0854</f>
        <v>8.5400000000000004E-2</v>
      </c>
      <c r="P51" s="201">
        <f>0.04</f>
        <v>0.04</v>
      </c>
      <c r="Q51" s="201">
        <f>0.0127</f>
        <v>1.2699999999999999E-2</v>
      </c>
      <c r="R51" s="201">
        <f>0.0118</f>
        <v>1.18E-2</v>
      </c>
      <c r="S51" s="201">
        <f>0</f>
        <v>0</v>
      </c>
      <c r="T51" s="201">
        <f>0</f>
        <v>0</v>
      </c>
      <c r="U51" s="201">
        <f>0</f>
        <v>0</v>
      </c>
      <c r="V51" s="201">
        <f>0</f>
        <v>0</v>
      </c>
      <c r="W51" s="201">
        <f>0</f>
        <v>0</v>
      </c>
      <c r="X51" s="201">
        <f>0</f>
        <v>0</v>
      </c>
      <c r="Y51" s="201">
        <f>0</f>
        <v>0</v>
      </c>
      <c r="Z51" s="201">
        <f>0</f>
        <v>0</v>
      </c>
      <c r="AA51" s="201">
        <f>0</f>
        <v>0</v>
      </c>
      <c r="AB51" s="201">
        <f>0</f>
        <v>0</v>
      </c>
      <c r="AC51" s="201">
        <f>0</f>
        <v>0</v>
      </c>
      <c r="AD51" s="201">
        <f>0</f>
        <v>0</v>
      </c>
      <c r="AE51" s="201">
        <f>0</f>
        <v>0</v>
      </c>
      <c r="AF51" s="201">
        <f>0</f>
        <v>0</v>
      </c>
      <c r="AG51" s="201">
        <f>0</f>
        <v>0</v>
      </c>
      <c r="AH51" s="201">
        <f>0</f>
        <v>0</v>
      </c>
      <c r="AI51" s="201">
        <f>0</f>
        <v>0</v>
      </c>
      <c r="AJ51" s="201">
        <f>0</f>
        <v>0</v>
      </c>
      <c r="AK51" s="201">
        <f>0</f>
        <v>0</v>
      </c>
      <c r="AL51" s="202">
        <f>0</f>
        <v>0</v>
      </c>
    </row>
    <row r="52" spans="1:39" ht="36" outlineLevel="2">
      <c r="A52" s="264" t="s">
        <v>202</v>
      </c>
      <c r="B52" s="285" t="s">
        <v>310</v>
      </c>
      <c r="C52" s="288" t="s">
        <v>311</v>
      </c>
      <c r="D52" s="287" t="s">
        <v>312</v>
      </c>
      <c r="E52" s="185">
        <f>0</f>
        <v>0</v>
      </c>
      <c r="F52" s="186">
        <f>0</f>
        <v>0</v>
      </c>
      <c r="G52" s="186">
        <f>0</f>
        <v>0</v>
      </c>
      <c r="H52" s="187">
        <f>0</f>
        <v>0</v>
      </c>
      <c r="I52" s="188">
        <f>0</f>
        <v>0</v>
      </c>
      <c r="J52" s="189">
        <f>0</f>
        <v>0</v>
      </c>
      <c r="K52" s="189">
        <f>0</f>
        <v>0</v>
      </c>
      <c r="L52" s="189">
        <f>0</f>
        <v>0</v>
      </c>
      <c r="M52" s="189">
        <f>0</f>
        <v>0</v>
      </c>
      <c r="N52" s="189">
        <f>0</f>
        <v>0</v>
      </c>
      <c r="O52" s="189">
        <f>0</f>
        <v>0</v>
      </c>
      <c r="P52" s="189">
        <f>0</f>
        <v>0</v>
      </c>
      <c r="Q52" s="189">
        <f>0</f>
        <v>0</v>
      </c>
      <c r="R52" s="189">
        <f>0</f>
        <v>0</v>
      </c>
      <c r="S52" s="189">
        <f>0</f>
        <v>0</v>
      </c>
      <c r="T52" s="189">
        <f>0</f>
        <v>0</v>
      </c>
      <c r="U52" s="189">
        <f>0</f>
        <v>0</v>
      </c>
      <c r="V52" s="189">
        <f>0</f>
        <v>0</v>
      </c>
      <c r="W52" s="189">
        <f>0</f>
        <v>0</v>
      </c>
      <c r="X52" s="189">
        <f>0</f>
        <v>0</v>
      </c>
      <c r="Y52" s="189">
        <f>0</f>
        <v>0</v>
      </c>
      <c r="Z52" s="189">
        <f>0</f>
        <v>0</v>
      </c>
      <c r="AA52" s="189">
        <f>0</f>
        <v>0</v>
      </c>
      <c r="AB52" s="189">
        <f>0</f>
        <v>0</v>
      </c>
      <c r="AC52" s="189">
        <f>0</f>
        <v>0</v>
      </c>
      <c r="AD52" s="189">
        <f>0</f>
        <v>0</v>
      </c>
      <c r="AE52" s="189">
        <f>0</f>
        <v>0</v>
      </c>
      <c r="AF52" s="189">
        <f>0</f>
        <v>0</v>
      </c>
      <c r="AG52" s="189">
        <f>0</f>
        <v>0</v>
      </c>
      <c r="AH52" s="189">
        <f>0</f>
        <v>0</v>
      </c>
      <c r="AI52" s="189">
        <f>0</f>
        <v>0</v>
      </c>
      <c r="AJ52" s="189">
        <f>0</f>
        <v>0</v>
      </c>
      <c r="AK52" s="189">
        <f>0</f>
        <v>0</v>
      </c>
      <c r="AL52" s="190">
        <f>0</f>
        <v>0</v>
      </c>
    </row>
    <row r="53" spans="1:39" ht="48" outlineLevel="2">
      <c r="A53" s="264" t="s">
        <v>202</v>
      </c>
      <c r="B53" s="285" t="s">
        <v>313</v>
      </c>
      <c r="C53" s="288" t="s">
        <v>314</v>
      </c>
      <c r="D53" s="287" t="s">
        <v>315</v>
      </c>
      <c r="E53" s="197">
        <f>0.1095</f>
        <v>0.1095</v>
      </c>
      <c r="F53" s="198">
        <f>0.1097</f>
        <v>0.10970000000000001</v>
      </c>
      <c r="G53" s="198">
        <f>0.0984</f>
        <v>9.8400000000000001E-2</v>
      </c>
      <c r="H53" s="199">
        <f>0.1082</f>
        <v>0.1082</v>
      </c>
      <c r="I53" s="200">
        <f>0.0819</f>
        <v>8.1900000000000001E-2</v>
      </c>
      <c r="J53" s="201">
        <f>0.1303</f>
        <v>0.1303</v>
      </c>
      <c r="K53" s="201">
        <f>0.122</f>
        <v>0.122</v>
      </c>
      <c r="L53" s="201">
        <f>0.1108</f>
        <v>0.1108</v>
      </c>
      <c r="M53" s="201">
        <f>0.1041</f>
        <v>0.1041</v>
      </c>
      <c r="N53" s="201">
        <f>0.0941</f>
        <v>9.4100000000000003E-2</v>
      </c>
      <c r="O53" s="201">
        <f>0.0854</f>
        <v>8.5400000000000004E-2</v>
      </c>
      <c r="P53" s="201">
        <f>0.04</f>
        <v>0.04</v>
      </c>
      <c r="Q53" s="201">
        <f>0.0127</f>
        <v>1.2699999999999999E-2</v>
      </c>
      <c r="R53" s="201">
        <f>0.0118</f>
        <v>1.18E-2</v>
      </c>
      <c r="S53" s="201">
        <f>0</f>
        <v>0</v>
      </c>
      <c r="T53" s="201">
        <f>0</f>
        <v>0</v>
      </c>
      <c r="U53" s="201">
        <f>0</f>
        <v>0</v>
      </c>
      <c r="V53" s="201">
        <f>0</f>
        <v>0</v>
      </c>
      <c r="W53" s="201">
        <f>0</f>
        <v>0</v>
      </c>
      <c r="X53" s="201">
        <f>0</f>
        <v>0</v>
      </c>
      <c r="Y53" s="201">
        <f>0</f>
        <v>0</v>
      </c>
      <c r="Z53" s="201">
        <f>0</f>
        <v>0</v>
      </c>
      <c r="AA53" s="201">
        <f>0</f>
        <v>0</v>
      </c>
      <c r="AB53" s="201">
        <f>0</f>
        <v>0</v>
      </c>
      <c r="AC53" s="201">
        <f>0</f>
        <v>0</v>
      </c>
      <c r="AD53" s="201">
        <f>0</f>
        <v>0</v>
      </c>
      <c r="AE53" s="201">
        <f>0</f>
        <v>0</v>
      </c>
      <c r="AF53" s="201">
        <f>0</f>
        <v>0</v>
      </c>
      <c r="AG53" s="201">
        <f>0</f>
        <v>0</v>
      </c>
      <c r="AH53" s="201">
        <f>0</f>
        <v>0</v>
      </c>
      <c r="AI53" s="201">
        <f>0</f>
        <v>0</v>
      </c>
      <c r="AJ53" s="201">
        <f>0</f>
        <v>0</v>
      </c>
      <c r="AK53" s="201">
        <f>0</f>
        <v>0</v>
      </c>
      <c r="AL53" s="202">
        <f>0</f>
        <v>0</v>
      </c>
    </row>
    <row r="54" spans="1:39" ht="36" outlineLevel="2">
      <c r="A54" s="264" t="s">
        <v>202</v>
      </c>
      <c r="B54" s="292" t="s">
        <v>316</v>
      </c>
      <c r="C54" s="288" t="s">
        <v>317</v>
      </c>
      <c r="D54" s="293" t="s">
        <v>318</v>
      </c>
      <c r="E54" s="197">
        <f t="shared" ref="E54:AL54" si="2">+IF(AND(E5&gt;=2013,E5&lt;=2018),IF(E6&lt;&gt;0,(E7+E15-E18+E21)/E6,0),IF(E6&lt;&gt;0,(E7+E15-E18)/E6,0))</f>
        <v>0.15513222714229147</v>
      </c>
      <c r="F54" s="198">
        <f t="shared" si="2"/>
        <v>9.3449249586776112E-2</v>
      </c>
      <c r="G54" s="198">
        <f t="shared" si="2"/>
        <v>0.12422976296908532</v>
      </c>
      <c r="H54" s="199">
        <f t="shared" si="2"/>
        <v>0.13781055760360936</v>
      </c>
      <c r="I54" s="200">
        <f t="shared" si="2"/>
        <v>0.17947022948341002</v>
      </c>
      <c r="J54" s="201">
        <f t="shared" si="2"/>
        <v>0.17335179786406571</v>
      </c>
      <c r="K54" s="201">
        <f t="shared" si="2"/>
        <v>0.1714156354852121</v>
      </c>
      <c r="L54" s="201">
        <f t="shared" si="2"/>
        <v>0.17963949111753569</v>
      </c>
      <c r="M54" s="201">
        <f t="shared" si="2"/>
        <v>0.16887659417338846</v>
      </c>
      <c r="N54" s="201">
        <f t="shared" si="2"/>
        <v>0.1816668703821562</v>
      </c>
      <c r="O54" s="201">
        <f t="shared" si="2"/>
        <v>0.19994496723474223</v>
      </c>
      <c r="P54" s="201">
        <f t="shared" si="2"/>
        <v>0.20372915892866825</v>
      </c>
      <c r="Q54" s="201">
        <f t="shared" si="2"/>
        <v>0.19293556792945712</v>
      </c>
      <c r="R54" s="201">
        <f t="shared" si="2"/>
        <v>0.1934155007529077</v>
      </c>
      <c r="S54" s="201">
        <f t="shared" si="2"/>
        <v>0</v>
      </c>
      <c r="T54" s="201">
        <f t="shared" si="2"/>
        <v>0</v>
      </c>
      <c r="U54" s="201">
        <f t="shared" si="2"/>
        <v>0</v>
      </c>
      <c r="V54" s="201">
        <f t="shared" si="2"/>
        <v>0</v>
      </c>
      <c r="W54" s="201">
        <f t="shared" si="2"/>
        <v>0</v>
      </c>
      <c r="X54" s="201">
        <f t="shared" si="2"/>
        <v>0</v>
      </c>
      <c r="Y54" s="201">
        <f t="shared" si="2"/>
        <v>0</v>
      </c>
      <c r="Z54" s="201">
        <f t="shared" si="2"/>
        <v>0</v>
      </c>
      <c r="AA54" s="201">
        <f t="shared" si="2"/>
        <v>0</v>
      </c>
      <c r="AB54" s="201">
        <f t="shared" si="2"/>
        <v>0</v>
      </c>
      <c r="AC54" s="201">
        <f t="shared" si="2"/>
        <v>0</v>
      </c>
      <c r="AD54" s="201">
        <f t="shared" si="2"/>
        <v>0</v>
      </c>
      <c r="AE54" s="201">
        <f t="shared" si="2"/>
        <v>0</v>
      </c>
      <c r="AF54" s="201">
        <f t="shared" si="2"/>
        <v>0</v>
      </c>
      <c r="AG54" s="201">
        <f t="shared" si="2"/>
        <v>0</v>
      </c>
      <c r="AH54" s="201">
        <f t="shared" si="2"/>
        <v>0</v>
      </c>
      <c r="AI54" s="201">
        <f t="shared" si="2"/>
        <v>0</v>
      </c>
      <c r="AJ54" s="201">
        <f t="shared" si="2"/>
        <v>0</v>
      </c>
      <c r="AK54" s="201">
        <f t="shared" si="2"/>
        <v>0</v>
      </c>
      <c r="AL54" s="202">
        <f t="shared" si="2"/>
        <v>0</v>
      </c>
    </row>
    <row r="55" spans="1:39" ht="48" outlineLevel="2">
      <c r="A55" s="264" t="s">
        <v>202</v>
      </c>
      <c r="B55" s="285" t="s">
        <v>319</v>
      </c>
      <c r="C55" s="288" t="s">
        <v>320</v>
      </c>
      <c r="D55" s="287" t="s">
        <v>321</v>
      </c>
      <c r="E55" s="191" t="s">
        <v>202</v>
      </c>
      <c r="F55" s="192" t="s">
        <v>202</v>
      </c>
      <c r="G55" s="192" t="s">
        <v>202</v>
      </c>
      <c r="H55" s="193" t="s">
        <v>202</v>
      </c>
      <c r="I55" s="200">
        <f>0.1242</f>
        <v>0.1242</v>
      </c>
      <c r="J55" s="201">
        <f>0.1324</f>
        <v>0.13239999999999999</v>
      </c>
      <c r="K55" s="201">
        <f>0.159</f>
        <v>0.159</v>
      </c>
      <c r="L55" s="201">
        <f>0.1748</f>
        <v>0.17480000000000001</v>
      </c>
      <c r="M55" s="201">
        <f>0.1748</f>
        <v>0.17480000000000001</v>
      </c>
      <c r="N55" s="201">
        <f>0.1733</f>
        <v>0.17330000000000001</v>
      </c>
      <c r="O55" s="201">
        <f>0.1767</f>
        <v>0.1767</v>
      </c>
      <c r="P55" s="201">
        <f>0.1835</f>
        <v>0.1835</v>
      </c>
      <c r="Q55" s="201">
        <f>0.1951</f>
        <v>0.1951</v>
      </c>
      <c r="R55" s="201">
        <f>0.1988</f>
        <v>0.1988</v>
      </c>
      <c r="S55" s="201">
        <f>0</f>
        <v>0</v>
      </c>
      <c r="T55" s="201">
        <f>0</f>
        <v>0</v>
      </c>
      <c r="U55" s="201">
        <f>0</f>
        <v>0</v>
      </c>
      <c r="V55" s="201">
        <f>0</f>
        <v>0</v>
      </c>
      <c r="W55" s="201">
        <f>0</f>
        <v>0</v>
      </c>
      <c r="X55" s="201">
        <f>0</f>
        <v>0</v>
      </c>
      <c r="Y55" s="201">
        <f>0</f>
        <v>0</v>
      </c>
      <c r="Z55" s="201">
        <f>0</f>
        <v>0</v>
      </c>
      <c r="AA55" s="201">
        <f>0</f>
        <v>0</v>
      </c>
      <c r="AB55" s="201">
        <f>0</f>
        <v>0</v>
      </c>
      <c r="AC55" s="201">
        <f>0</f>
        <v>0</v>
      </c>
      <c r="AD55" s="201">
        <f>0</f>
        <v>0</v>
      </c>
      <c r="AE55" s="201">
        <f>0</f>
        <v>0</v>
      </c>
      <c r="AF55" s="201">
        <f>0</f>
        <v>0</v>
      </c>
      <c r="AG55" s="201">
        <f>0</f>
        <v>0</v>
      </c>
      <c r="AH55" s="201">
        <f>0</f>
        <v>0</v>
      </c>
      <c r="AI55" s="201">
        <f>0</f>
        <v>0</v>
      </c>
      <c r="AJ55" s="201">
        <f>0</f>
        <v>0</v>
      </c>
      <c r="AK55" s="201">
        <f>0</f>
        <v>0</v>
      </c>
      <c r="AL55" s="202">
        <f>0</f>
        <v>0</v>
      </c>
    </row>
    <row r="56" spans="1:39" ht="48" outlineLevel="3">
      <c r="A56" s="264" t="s">
        <v>202</v>
      </c>
      <c r="B56" s="285" t="s">
        <v>322</v>
      </c>
      <c r="C56" s="288" t="s">
        <v>323</v>
      </c>
      <c r="D56" s="289" t="s">
        <v>324</v>
      </c>
      <c r="E56" s="191" t="s">
        <v>202</v>
      </c>
      <c r="F56" s="192" t="s">
        <v>202</v>
      </c>
      <c r="G56" s="192" t="s">
        <v>202</v>
      </c>
      <c r="H56" s="193" t="s">
        <v>202</v>
      </c>
      <c r="I56" s="200">
        <f>0.1288</f>
        <v>0.1288</v>
      </c>
      <c r="J56" s="201">
        <f>0.1369</f>
        <v>0.13689999999999999</v>
      </c>
      <c r="K56" s="201">
        <f>0.1636</f>
        <v>0.1636</v>
      </c>
      <c r="L56" s="201">
        <f>0.1748</f>
        <v>0.17480000000000001</v>
      </c>
      <c r="M56" s="201">
        <f>0.1748</f>
        <v>0.17480000000000001</v>
      </c>
      <c r="N56" s="201">
        <f>0.1733</f>
        <v>0.17330000000000001</v>
      </c>
      <c r="O56" s="201">
        <f>0.1767</f>
        <v>0.1767</v>
      </c>
      <c r="P56" s="201">
        <f>0.1835</f>
        <v>0.1835</v>
      </c>
      <c r="Q56" s="201">
        <f>0.1951</f>
        <v>0.1951</v>
      </c>
      <c r="R56" s="201">
        <f>0.1988</f>
        <v>0.1988</v>
      </c>
      <c r="S56" s="201">
        <f>0</f>
        <v>0</v>
      </c>
      <c r="T56" s="201">
        <f>0</f>
        <v>0</v>
      </c>
      <c r="U56" s="201">
        <f>0</f>
        <v>0</v>
      </c>
      <c r="V56" s="201">
        <f>0</f>
        <v>0</v>
      </c>
      <c r="W56" s="201">
        <f>0</f>
        <v>0</v>
      </c>
      <c r="X56" s="201">
        <f>0</f>
        <v>0</v>
      </c>
      <c r="Y56" s="201">
        <f>0</f>
        <v>0</v>
      </c>
      <c r="Z56" s="201">
        <f>0</f>
        <v>0</v>
      </c>
      <c r="AA56" s="201">
        <f>0</f>
        <v>0</v>
      </c>
      <c r="AB56" s="201">
        <f>0</f>
        <v>0</v>
      </c>
      <c r="AC56" s="201">
        <f>0</f>
        <v>0</v>
      </c>
      <c r="AD56" s="201">
        <f>0</f>
        <v>0</v>
      </c>
      <c r="AE56" s="201">
        <f>0</f>
        <v>0</v>
      </c>
      <c r="AF56" s="201">
        <f>0</f>
        <v>0</v>
      </c>
      <c r="AG56" s="201">
        <f>0</f>
        <v>0</v>
      </c>
      <c r="AH56" s="201">
        <f>0</f>
        <v>0</v>
      </c>
      <c r="AI56" s="201">
        <f>0</f>
        <v>0</v>
      </c>
      <c r="AJ56" s="201">
        <f>0</f>
        <v>0</v>
      </c>
      <c r="AK56" s="201">
        <f>0</f>
        <v>0</v>
      </c>
      <c r="AL56" s="202">
        <f>0</f>
        <v>0</v>
      </c>
    </row>
    <row r="57" spans="1:39" ht="60" outlineLevel="2">
      <c r="A57" s="264" t="s">
        <v>202</v>
      </c>
      <c r="B57" s="285" t="s">
        <v>325</v>
      </c>
      <c r="C57" s="288" t="s">
        <v>326</v>
      </c>
      <c r="D57" s="287" t="s">
        <v>327</v>
      </c>
      <c r="E57" s="191" t="s">
        <v>202</v>
      </c>
      <c r="F57" s="192" t="s">
        <v>202</v>
      </c>
      <c r="G57" s="192" t="s">
        <v>202</v>
      </c>
      <c r="H57" s="193" t="s">
        <v>202</v>
      </c>
      <c r="I57" s="203" t="str">
        <f>IF(I53&lt;=I55,"Spełniona","Nie spełniona")</f>
        <v>Spełniona</v>
      </c>
      <c r="J57" s="204" t="str">
        <f t="shared" ref="J57:AL57" si="3">IF(J53&lt;=J55,"Spełniona","Nie spełniona")</f>
        <v>Spełniona</v>
      </c>
      <c r="K57" s="204" t="str">
        <f t="shared" si="3"/>
        <v>Spełniona</v>
      </c>
      <c r="L57" s="204" t="str">
        <f t="shared" si="3"/>
        <v>Spełniona</v>
      </c>
      <c r="M57" s="204" t="str">
        <f t="shared" si="3"/>
        <v>Spełniona</v>
      </c>
      <c r="N57" s="204" t="str">
        <f t="shared" si="3"/>
        <v>Spełniona</v>
      </c>
      <c r="O57" s="204" t="str">
        <f t="shared" si="3"/>
        <v>Spełniona</v>
      </c>
      <c r="P57" s="204" t="str">
        <f t="shared" si="3"/>
        <v>Spełniona</v>
      </c>
      <c r="Q57" s="204" t="str">
        <f t="shared" si="3"/>
        <v>Spełniona</v>
      </c>
      <c r="R57" s="204" t="str">
        <f t="shared" si="3"/>
        <v>Spełniona</v>
      </c>
      <c r="S57" s="204" t="str">
        <f t="shared" si="3"/>
        <v>Spełniona</v>
      </c>
      <c r="T57" s="204" t="str">
        <f t="shared" si="3"/>
        <v>Spełniona</v>
      </c>
      <c r="U57" s="204" t="str">
        <f t="shared" si="3"/>
        <v>Spełniona</v>
      </c>
      <c r="V57" s="204" t="str">
        <f t="shared" si="3"/>
        <v>Spełniona</v>
      </c>
      <c r="W57" s="204" t="str">
        <f t="shared" si="3"/>
        <v>Spełniona</v>
      </c>
      <c r="X57" s="204" t="str">
        <f t="shared" si="3"/>
        <v>Spełniona</v>
      </c>
      <c r="Y57" s="204" t="str">
        <f t="shared" si="3"/>
        <v>Spełniona</v>
      </c>
      <c r="Z57" s="204" t="str">
        <f t="shared" si="3"/>
        <v>Spełniona</v>
      </c>
      <c r="AA57" s="204" t="str">
        <f t="shared" si="3"/>
        <v>Spełniona</v>
      </c>
      <c r="AB57" s="204" t="str">
        <f t="shared" si="3"/>
        <v>Spełniona</v>
      </c>
      <c r="AC57" s="204" t="str">
        <f t="shared" si="3"/>
        <v>Spełniona</v>
      </c>
      <c r="AD57" s="204" t="str">
        <f t="shared" si="3"/>
        <v>Spełniona</v>
      </c>
      <c r="AE57" s="204" t="str">
        <f t="shared" si="3"/>
        <v>Spełniona</v>
      </c>
      <c r="AF57" s="204" t="str">
        <f t="shared" si="3"/>
        <v>Spełniona</v>
      </c>
      <c r="AG57" s="204" t="str">
        <f t="shared" si="3"/>
        <v>Spełniona</v>
      </c>
      <c r="AH57" s="204" t="str">
        <f t="shared" si="3"/>
        <v>Spełniona</v>
      </c>
      <c r="AI57" s="204" t="str">
        <f t="shared" si="3"/>
        <v>Spełniona</v>
      </c>
      <c r="AJ57" s="204" t="str">
        <f t="shared" si="3"/>
        <v>Spełniona</v>
      </c>
      <c r="AK57" s="204" t="str">
        <f t="shared" si="3"/>
        <v>Spełniona</v>
      </c>
      <c r="AL57" s="205" t="str">
        <f t="shared" si="3"/>
        <v>Spełniona</v>
      </c>
    </row>
    <row r="58" spans="1:39" ht="60" outlineLevel="3">
      <c r="A58" s="264" t="s">
        <v>202</v>
      </c>
      <c r="B58" s="285" t="s">
        <v>328</v>
      </c>
      <c r="C58" s="288" t="s">
        <v>329</v>
      </c>
      <c r="D58" s="289" t="s">
        <v>330</v>
      </c>
      <c r="E58" s="191" t="s">
        <v>202</v>
      </c>
      <c r="F58" s="192" t="s">
        <v>202</v>
      </c>
      <c r="G58" s="192" t="s">
        <v>202</v>
      </c>
      <c r="H58" s="193" t="s">
        <v>202</v>
      </c>
      <c r="I58" s="203" t="str">
        <f>IF(I53&lt;=I56,"Spełniona","Nie spełniona")</f>
        <v>Spełniona</v>
      </c>
      <c r="J58" s="204" t="str">
        <f t="shared" ref="J58:AL58" si="4">IF(J53&lt;=J56,"Spełniona","Nie spełniona")</f>
        <v>Spełniona</v>
      </c>
      <c r="K58" s="204" t="str">
        <f t="shared" si="4"/>
        <v>Spełniona</v>
      </c>
      <c r="L58" s="204" t="str">
        <f t="shared" si="4"/>
        <v>Spełniona</v>
      </c>
      <c r="M58" s="204" t="str">
        <f t="shared" si="4"/>
        <v>Spełniona</v>
      </c>
      <c r="N58" s="204" t="str">
        <f t="shared" si="4"/>
        <v>Spełniona</v>
      </c>
      <c r="O58" s="204" t="str">
        <f t="shared" si="4"/>
        <v>Spełniona</v>
      </c>
      <c r="P58" s="204" t="str">
        <f t="shared" si="4"/>
        <v>Spełniona</v>
      </c>
      <c r="Q58" s="204" t="str">
        <f t="shared" si="4"/>
        <v>Spełniona</v>
      </c>
      <c r="R58" s="204" t="str">
        <f t="shared" si="4"/>
        <v>Spełniona</v>
      </c>
      <c r="S58" s="204" t="str">
        <f t="shared" si="4"/>
        <v>Spełniona</v>
      </c>
      <c r="T58" s="204" t="str">
        <f t="shared" si="4"/>
        <v>Spełniona</v>
      </c>
      <c r="U58" s="204" t="str">
        <f t="shared" si="4"/>
        <v>Spełniona</v>
      </c>
      <c r="V58" s="204" t="str">
        <f t="shared" si="4"/>
        <v>Spełniona</v>
      </c>
      <c r="W58" s="204" t="str">
        <f t="shared" si="4"/>
        <v>Spełniona</v>
      </c>
      <c r="X58" s="204" t="str">
        <f t="shared" si="4"/>
        <v>Spełniona</v>
      </c>
      <c r="Y58" s="204" t="str">
        <f t="shared" si="4"/>
        <v>Spełniona</v>
      </c>
      <c r="Z58" s="204" t="str">
        <f t="shared" si="4"/>
        <v>Spełniona</v>
      </c>
      <c r="AA58" s="204" t="str">
        <f t="shared" si="4"/>
        <v>Spełniona</v>
      </c>
      <c r="AB58" s="204" t="str">
        <f t="shared" si="4"/>
        <v>Spełniona</v>
      </c>
      <c r="AC58" s="204" t="str">
        <f t="shared" si="4"/>
        <v>Spełniona</v>
      </c>
      <c r="AD58" s="204" t="str">
        <f t="shared" si="4"/>
        <v>Spełniona</v>
      </c>
      <c r="AE58" s="204" t="str">
        <f t="shared" si="4"/>
        <v>Spełniona</v>
      </c>
      <c r="AF58" s="204" t="str">
        <f t="shared" si="4"/>
        <v>Spełniona</v>
      </c>
      <c r="AG58" s="204" t="str">
        <f t="shared" si="4"/>
        <v>Spełniona</v>
      </c>
      <c r="AH58" s="204" t="str">
        <f t="shared" si="4"/>
        <v>Spełniona</v>
      </c>
      <c r="AI58" s="204" t="str">
        <f t="shared" si="4"/>
        <v>Spełniona</v>
      </c>
      <c r="AJ58" s="204" t="str">
        <f t="shared" si="4"/>
        <v>Spełniona</v>
      </c>
      <c r="AK58" s="204" t="str">
        <f t="shared" si="4"/>
        <v>Spełniona</v>
      </c>
      <c r="AL58" s="205" t="str">
        <f t="shared" si="4"/>
        <v>Spełniona</v>
      </c>
    </row>
    <row r="59" spans="1:39" ht="27.75" customHeight="1" outlineLevel="1">
      <c r="B59" s="281">
        <v>10</v>
      </c>
      <c r="C59" s="282" t="s">
        <v>331</v>
      </c>
      <c r="D59" s="283" t="s">
        <v>331</v>
      </c>
      <c r="E59" s="179">
        <f>0</f>
        <v>0</v>
      </c>
      <c r="F59" s="180">
        <f>0</f>
        <v>0</v>
      </c>
      <c r="G59" s="180">
        <f>0</f>
        <v>0</v>
      </c>
      <c r="H59" s="181">
        <f>0</f>
        <v>0</v>
      </c>
      <c r="I59" s="182">
        <f>1864521</f>
        <v>1864521</v>
      </c>
      <c r="J59" s="183">
        <f t="shared" ref="J59:N60" si="5">1953410</f>
        <v>1953410</v>
      </c>
      <c r="K59" s="183">
        <f t="shared" si="5"/>
        <v>1953410</v>
      </c>
      <c r="L59" s="183">
        <f t="shared" si="5"/>
        <v>1953410</v>
      </c>
      <c r="M59" s="183">
        <f t="shared" si="5"/>
        <v>1953410</v>
      </c>
      <c r="N59" s="183">
        <f t="shared" si="5"/>
        <v>1953410</v>
      </c>
      <c r="O59" s="183">
        <f>1913410</f>
        <v>1913410</v>
      </c>
      <c r="P59" s="183">
        <f>1010016</f>
        <v>1010016</v>
      </c>
      <c r="Q59" s="183">
        <f>358852</f>
        <v>358852</v>
      </c>
      <c r="R59" s="183">
        <f>358933.42</f>
        <v>358933.42</v>
      </c>
      <c r="S59" s="183">
        <f>0</f>
        <v>0</v>
      </c>
      <c r="T59" s="183">
        <f>0</f>
        <v>0</v>
      </c>
      <c r="U59" s="183">
        <f>0</f>
        <v>0</v>
      </c>
      <c r="V59" s="183">
        <f>0</f>
        <v>0</v>
      </c>
      <c r="W59" s="183">
        <f>0</f>
        <v>0</v>
      </c>
      <c r="X59" s="183">
        <f>0</f>
        <v>0</v>
      </c>
      <c r="Y59" s="183">
        <f>0</f>
        <v>0</v>
      </c>
      <c r="Z59" s="183">
        <f>0</f>
        <v>0</v>
      </c>
      <c r="AA59" s="183">
        <f>0</f>
        <v>0</v>
      </c>
      <c r="AB59" s="183">
        <f>0</f>
        <v>0</v>
      </c>
      <c r="AC59" s="183">
        <f>0</f>
        <v>0</v>
      </c>
      <c r="AD59" s="183">
        <f>0</f>
        <v>0</v>
      </c>
      <c r="AE59" s="183">
        <f>0</f>
        <v>0</v>
      </c>
      <c r="AF59" s="183">
        <f>0</f>
        <v>0</v>
      </c>
      <c r="AG59" s="183">
        <f>0</f>
        <v>0</v>
      </c>
      <c r="AH59" s="183">
        <f>0</f>
        <v>0</v>
      </c>
      <c r="AI59" s="183">
        <f>0</f>
        <v>0</v>
      </c>
      <c r="AJ59" s="183">
        <f>0</f>
        <v>0</v>
      </c>
      <c r="AK59" s="183">
        <f>0</f>
        <v>0</v>
      </c>
      <c r="AL59" s="184">
        <f>0</f>
        <v>0</v>
      </c>
      <c r="AM59" s="284"/>
    </row>
    <row r="60" spans="1:39" outlineLevel="2">
      <c r="B60" s="285" t="s">
        <v>332</v>
      </c>
      <c r="C60" s="288" t="s">
        <v>333</v>
      </c>
      <c r="D60" s="287" t="s">
        <v>334</v>
      </c>
      <c r="E60" s="185">
        <f>0</f>
        <v>0</v>
      </c>
      <c r="F60" s="186">
        <f>0</f>
        <v>0</v>
      </c>
      <c r="G60" s="186">
        <f>413661</f>
        <v>413661</v>
      </c>
      <c r="H60" s="187">
        <f>361034.95</f>
        <v>361034.95</v>
      </c>
      <c r="I60" s="188">
        <f>1864521</f>
        <v>1864521</v>
      </c>
      <c r="J60" s="189">
        <f t="shared" si="5"/>
        <v>1953410</v>
      </c>
      <c r="K60" s="189">
        <f t="shared" si="5"/>
        <v>1953410</v>
      </c>
      <c r="L60" s="189">
        <f t="shared" si="5"/>
        <v>1953410</v>
      </c>
      <c r="M60" s="189">
        <f t="shared" si="5"/>
        <v>1953410</v>
      </c>
      <c r="N60" s="189">
        <f t="shared" si="5"/>
        <v>1953410</v>
      </c>
      <c r="O60" s="189">
        <f>1913410</f>
        <v>1913410</v>
      </c>
      <c r="P60" s="189">
        <f>1010016</f>
        <v>1010016</v>
      </c>
      <c r="Q60" s="189">
        <f>358852</f>
        <v>358852</v>
      </c>
      <c r="R60" s="189">
        <f>358933.42</f>
        <v>358933.42</v>
      </c>
      <c r="S60" s="189">
        <f>0</f>
        <v>0</v>
      </c>
      <c r="T60" s="189">
        <f>0</f>
        <v>0</v>
      </c>
      <c r="U60" s="189">
        <f>0</f>
        <v>0</v>
      </c>
      <c r="V60" s="189">
        <f>0</f>
        <v>0</v>
      </c>
      <c r="W60" s="189">
        <f>0</f>
        <v>0</v>
      </c>
      <c r="X60" s="189">
        <f>0</f>
        <v>0</v>
      </c>
      <c r="Y60" s="189">
        <f>0</f>
        <v>0</v>
      </c>
      <c r="Z60" s="189">
        <f>0</f>
        <v>0</v>
      </c>
      <c r="AA60" s="189">
        <f>0</f>
        <v>0</v>
      </c>
      <c r="AB60" s="189">
        <f>0</f>
        <v>0</v>
      </c>
      <c r="AC60" s="189">
        <f>0</f>
        <v>0</v>
      </c>
      <c r="AD60" s="189">
        <f>0</f>
        <v>0</v>
      </c>
      <c r="AE60" s="189">
        <f>0</f>
        <v>0</v>
      </c>
      <c r="AF60" s="189">
        <f>0</f>
        <v>0</v>
      </c>
      <c r="AG60" s="189">
        <f>0</f>
        <v>0</v>
      </c>
      <c r="AH60" s="189">
        <f>0</f>
        <v>0</v>
      </c>
      <c r="AI60" s="189">
        <f>0</f>
        <v>0</v>
      </c>
      <c r="AJ60" s="189">
        <f>0</f>
        <v>0</v>
      </c>
      <c r="AK60" s="189">
        <f>0</f>
        <v>0</v>
      </c>
      <c r="AL60" s="190">
        <f>0</f>
        <v>0</v>
      </c>
    </row>
    <row r="61" spans="1:39" ht="24" outlineLevel="1">
      <c r="B61" s="281">
        <v>11</v>
      </c>
      <c r="C61" s="282" t="s">
        <v>335</v>
      </c>
      <c r="D61" s="283" t="s">
        <v>335</v>
      </c>
      <c r="E61" s="191" t="s">
        <v>202</v>
      </c>
      <c r="F61" s="192" t="s">
        <v>202</v>
      </c>
      <c r="G61" s="192" t="s">
        <v>202</v>
      </c>
      <c r="H61" s="193" t="s">
        <v>202</v>
      </c>
      <c r="I61" s="194" t="s">
        <v>202</v>
      </c>
      <c r="J61" s="195" t="s">
        <v>202</v>
      </c>
      <c r="K61" s="195" t="s">
        <v>202</v>
      </c>
      <c r="L61" s="195" t="s">
        <v>202</v>
      </c>
      <c r="M61" s="195" t="s">
        <v>202</v>
      </c>
      <c r="N61" s="195" t="s">
        <v>202</v>
      </c>
      <c r="O61" s="195" t="s">
        <v>202</v>
      </c>
      <c r="P61" s="195" t="s">
        <v>202</v>
      </c>
      <c r="Q61" s="195" t="s">
        <v>202</v>
      </c>
      <c r="R61" s="195" t="s">
        <v>202</v>
      </c>
      <c r="S61" s="195" t="s">
        <v>202</v>
      </c>
      <c r="T61" s="195" t="s">
        <v>202</v>
      </c>
      <c r="U61" s="195" t="s">
        <v>202</v>
      </c>
      <c r="V61" s="195" t="s">
        <v>202</v>
      </c>
      <c r="W61" s="195" t="s">
        <v>202</v>
      </c>
      <c r="X61" s="195" t="s">
        <v>202</v>
      </c>
      <c r="Y61" s="195" t="s">
        <v>202</v>
      </c>
      <c r="Z61" s="195" t="s">
        <v>202</v>
      </c>
      <c r="AA61" s="195" t="s">
        <v>202</v>
      </c>
      <c r="AB61" s="195" t="s">
        <v>202</v>
      </c>
      <c r="AC61" s="195" t="s">
        <v>202</v>
      </c>
      <c r="AD61" s="195" t="s">
        <v>202</v>
      </c>
      <c r="AE61" s="195" t="s">
        <v>202</v>
      </c>
      <c r="AF61" s="195" t="s">
        <v>202</v>
      </c>
      <c r="AG61" s="195" t="s">
        <v>202</v>
      </c>
      <c r="AH61" s="195" t="s">
        <v>202</v>
      </c>
      <c r="AI61" s="195" t="s">
        <v>202</v>
      </c>
      <c r="AJ61" s="195" t="s">
        <v>202</v>
      </c>
      <c r="AK61" s="195" t="s">
        <v>202</v>
      </c>
      <c r="AL61" s="196" t="s">
        <v>202</v>
      </c>
      <c r="AM61" s="284"/>
    </row>
    <row r="62" spans="1:39" outlineLevel="2">
      <c r="B62" s="285" t="s">
        <v>336</v>
      </c>
      <c r="C62" s="288" t="s">
        <v>337</v>
      </c>
      <c r="D62" s="287" t="s">
        <v>338</v>
      </c>
      <c r="E62" s="185">
        <f>5888275.54</f>
        <v>5888275.54</v>
      </c>
      <c r="F62" s="186">
        <f>6513898.96</f>
        <v>6513898.96</v>
      </c>
      <c r="G62" s="186">
        <f>6919615.9</f>
        <v>6919615.9000000004</v>
      </c>
      <c r="H62" s="187">
        <f>6622241.09</f>
        <v>6622241.0899999999</v>
      </c>
      <c r="I62" s="188">
        <f>6596199.03</f>
        <v>6596199.0300000003</v>
      </c>
      <c r="J62" s="189">
        <f>6785825</f>
        <v>6785825</v>
      </c>
      <c r="K62" s="189">
        <f>6921542</f>
        <v>6921542</v>
      </c>
      <c r="L62" s="189">
        <f>7059980</f>
        <v>7059980</v>
      </c>
      <c r="M62" s="189">
        <f>0</f>
        <v>0</v>
      </c>
      <c r="N62" s="189">
        <f>0</f>
        <v>0</v>
      </c>
      <c r="O62" s="189">
        <f>0</f>
        <v>0</v>
      </c>
      <c r="P62" s="189">
        <f>0</f>
        <v>0</v>
      </c>
      <c r="Q62" s="189">
        <f>0</f>
        <v>0</v>
      </c>
      <c r="R62" s="189">
        <f>0</f>
        <v>0</v>
      </c>
      <c r="S62" s="189">
        <f>0</f>
        <v>0</v>
      </c>
      <c r="T62" s="189">
        <f>0</f>
        <v>0</v>
      </c>
      <c r="U62" s="189">
        <f>0</f>
        <v>0</v>
      </c>
      <c r="V62" s="189">
        <f>0</f>
        <v>0</v>
      </c>
      <c r="W62" s="189">
        <f>0</f>
        <v>0</v>
      </c>
      <c r="X62" s="189">
        <f>0</f>
        <v>0</v>
      </c>
      <c r="Y62" s="189">
        <f>0</f>
        <v>0</v>
      </c>
      <c r="Z62" s="189">
        <f>0</f>
        <v>0</v>
      </c>
      <c r="AA62" s="189">
        <f>0</f>
        <v>0</v>
      </c>
      <c r="AB62" s="189">
        <f>0</f>
        <v>0</v>
      </c>
      <c r="AC62" s="189">
        <f>0</f>
        <v>0</v>
      </c>
      <c r="AD62" s="189">
        <f>0</f>
        <v>0</v>
      </c>
      <c r="AE62" s="189">
        <f>0</f>
        <v>0</v>
      </c>
      <c r="AF62" s="189">
        <f>0</f>
        <v>0</v>
      </c>
      <c r="AG62" s="189">
        <f>0</f>
        <v>0</v>
      </c>
      <c r="AH62" s="189">
        <f>0</f>
        <v>0</v>
      </c>
      <c r="AI62" s="189">
        <f>0</f>
        <v>0</v>
      </c>
      <c r="AJ62" s="189">
        <f>0</f>
        <v>0</v>
      </c>
      <c r="AK62" s="189">
        <f>0</f>
        <v>0</v>
      </c>
      <c r="AL62" s="190">
        <f>0</f>
        <v>0</v>
      </c>
    </row>
    <row r="63" spans="1:39" ht="24" outlineLevel="2">
      <c r="B63" s="285" t="s">
        <v>339</v>
      </c>
      <c r="C63" s="288" t="s">
        <v>340</v>
      </c>
      <c r="D63" s="287" t="s">
        <v>341</v>
      </c>
      <c r="E63" s="185">
        <f>0</f>
        <v>0</v>
      </c>
      <c r="F63" s="186">
        <f>2731725.76</f>
        <v>2731725.76</v>
      </c>
      <c r="G63" s="186">
        <f>3042710</f>
        <v>3042710</v>
      </c>
      <c r="H63" s="187">
        <f>2810053.93</f>
        <v>2810053.93</v>
      </c>
      <c r="I63" s="188">
        <f>3002644</f>
        <v>3002644</v>
      </c>
      <c r="J63" s="189">
        <f>3093988</f>
        <v>3093988</v>
      </c>
      <c r="K63" s="189">
        <f>3155868</f>
        <v>3155868</v>
      </c>
      <c r="L63" s="189">
        <f>3218985</f>
        <v>3218985</v>
      </c>
      <c r="M63" s="189">
        <f>0</f>
        <v>0</v>
      </c>
      <c r="N63" s="189">
        <f>0</f>
        <v>0</v>
      </c>
      <c r="O63" s="189">
        <f>0</f>
        <v>0</v>
      </c>
      <c r="P63" s="189">
        <f>0</f>
        <v>0</v>
      </c>
      <c r="Q63" s="189">
        <f>0</f>
        <v>0</v>
      </c>
      <c r="R63" s="189">
        <f>0</f>
        <v>0</v>
      </c>
      <c r="S63" s="189">
        <f>0</f>
        <v>0</v>
      </c>
      <c r="T63" s="189">
        <f>0</f>
        <v>0</v>
      </c>
      <c r="U63" s="189">
        <f>0</f>
        <v>0</v>
      </c>
      <c r="V63" s="189">
        <f>0</f>
        <v>0</v>
      </c>
      <c r="W63" s="189">
        <f>0</f>
        <v>0</v>
      </c>
      <c r="X63" s="189">
        <f>0</f>
        <v>0</v>
      </c>
      <c r="Y63" s="189">
        <f>0</f>
        <v>0</v>
      </c>
      <c r="Z63" s="189">
        <f>0</f>
        <v>0</v>
      </c>
      <c r="AA63" s="189">
        <f>0</f>
        <v>0</v>
      </c>
      <c r="AB63" s="189">
        <f>0</f>
        <v>0</v>
      </c>
      <c r="AC63" s="189">
        <f>0</f>
        <v>0</v>
      </c>
      <c r="AD63" s="189">
        <f>0</f>
        <v>0</v>
      </c>
      <c r="AE63" s="189">
        <f>0</f>
        <v>0</v>
      </c>
      <c r="AF63" s="189">
        <f>0</f>
        <v>0</v>
      </c>
      <c r="AG63" s="189">
        <f>0</f>
        <v>0</v>
      </c>
      <c r="AH63" s="189">
        <f>0</f>
        <v>0</v>
      </c>
      <c r="AI63" s="189">
        <f>0</f>
        <v>0</v>
      </c>
      <c r="AJ63" s="189">
        <f>0</f>
        <v>0</v>
      </c>
      <c r="AK63" s="189">
        <f>0</f>
        <v>0</v>
      </c>
      <c r="AL63" s="190">
        <f>0</f>
        <v>0</v>
      </c>
    </row>
    <row r="64" spans="1:39" outlineLevel="2">
      <c r="B64" s="285" t="s">
        <v>342</v>
      </c>
      <c r="C64" s="288" t="s">
        <v>343</v>
      </c>
      <c r="D64" s="287" t="s">
        <v>344</v>
      </c>
      <c r="E64" s="185">
        <f>4142109.59</f>
        <v>4142109.59</v>
      </c>
      <c r="F64" s="186">
        <f>0</f>
        <v>0</v>
      </c>
      <c r="G64" s="186">
        <f>3272400</f>
        <v>3272400</v>
      </c>
      <c r="H64" s="187">
        <f>0</f>
        <v>0</v>
      </c>
      <c r="I64" s="188">
        <f>3035281</f>
        <v>3035281</v>
      </c>
      <c r="J64" s="189">
        <f>2293840</f>
        <v>2293840</v>
      </c>
      <c r="K64" s="189">
        <f>2456617</f>
        <v>2456617</v>
      </c>
      <c r="L64" s="189">
        <f>2902981</f>
        <v>2902981</v>
      </c>
      <c r="M64" s="189">
        <f>2994000</f>
        <v>2994000</v>
      </c>
      <c r="N64" s="189">
        <f>3607800</f>
        <v>3607800</v>
      </c>
      <c r="O64" s="189">
        <f>3600500</f>
        <v>3600500</v>
      </c>
      <c r="P64" s="189">
        <f>6351000</f>
        <v>6351000</v>
      </c>
      <c r="Q64" s="189">
        <f>9177000</f>
        <v>9177000</v>
      </c>
      <c r="R64" s="189">
        <f>9827000</f>
        <v>9827000</v>
      </c>
      <c r="S64" s="189">
        <f>0</f>
        <v>0</v>
      </c>
      <c r="T64" s="189">
        <f>0</f>
        <v>0</v>
      </c>
      <c r="U64" s="189">
        <f>0</f>
        <v>0</v>
      </c>
      <c r="V64" s="189">
        <f>0</f>
        <v>0</v>
      </c>
      <c r="W64" s="189">
        <f>0</f>
        <v>0</v>
      </c>
      <c r="X64" s="189">
        <f>0</f>
        <v>0</v>
      </c>
      <c r="Y64" s="189">
        <f>0</f>
        <v>0</v>
      </c>
      <c r="Z64" s="189">
        <f>0</f>
        <v>0</v>
      </c>
      <c r="AA64" s="189">
        <f>0</f>
        <v>0</v>
      </c>
      <c r="AB64" s="189">
        <f>0</f>
        <v>0</v>
      </c>
      <c r="AC64" s="189">
        <f>0</f>
        <v>0</v>
      </c>
      <c r="AD64" s="189">
        <f>0</f>
        <v>0</v>
      </c>
      <c r="AE64" s="189">
        <f>0</f>
        <v>0</v>
      </c>
      <c r="AF64" s="189">
        <f>0</f>
        <v>0</v>
      </c>
      <c r="AG64" s="189">
        <f>0</f>
        <v>0</v>
      </c>
      <c r="AH64" s="189">
        <f>0</f>
        <v>0</v>
      </c>
      <c r="AI64" s="189">
        <f>0</f>
        <v>0</v>
      </c>
      <c r="AJ64" s="189">
        <f>0</f>
        <v>0</v>
      </c>
      <c r="AK64" s="189">
        <f>0</f>
        <v>0</v>
      </c>
      <c r="AL64" s="190">
        <f>0</f>
        <v>0</v>
      </c>
    </row>
    <row r="65" spans="2:39" outlineLevel="3">
      <c r="B65" s="285" t="s">
        <v>345</v>
      </c>
      <c r="C65" s="288" t="s">
        <v>346</v>
      </c>
      <c r="D65" s="289" t="s">
        <v>347</v>
      </c>
      <c r="E65" s="185">
        <f>129064</f>
        <v>129064</v>
      </c>
      <c r="F65" s="186">
        <f>0</f>
        <v>0</v>
      </c>
      <c r="G65" s="186">
        <f>648376</f>
        <v>648376</v>
      </c>
      <c r="H65" s="187">
        <f>0</f>
        <v>0</v>
      </c>
      <c r="I65" s="188">
        <f>651454</f>
        <v>651454</v>
      </c>
      <c r="J65" s="189">
        <f>357212</f>
        <v>357212</v>
      </c>
      <c r="K65" s="189">
        <f>249000</f>
        <v>249000</v>
      </c>
      <c r="L65" s="189">
        <f>249000</f>
        <v>249000</v>
      </c>
      <c r="M65" s="189">
        <f>199000</f>
        <v>199000</v>
      </c>
      <c r="N65" s="189">
        <f>101000</f>
        <v>101000</v>
      </c>
      <c r="O65" s="189">
        <f>41000</f>
        <v>41000</v>
      </c>
      <c r="P65" s="189">
        <f>17000</f>
        <v>17000</v>
      </c>
      <c r="Q65" s="189">
        <f>17000</f>
        <v>17000</v>
      </c>
      <c r="R65" s="189">
        <f>17000</f>
        <v>17000</v>
      </c>
      <c r="S65" s="189">
        <f>0</f>
        <v>0</v>
      </c>
      <c r="T65" s="189">
        <f>0</f>
        <v>0</v>
      </c>
      <c r="U65" s="189">
        <f>0</f>
        <v>0</v>
      </c>
      <c r="V65" s="189">
        <f>0</f>
        <v>0</v>
      </c>
      <c r="W65" s="189">
        <f>0</f>
        <v>0</v>
      </c>
      <c r="X65" s="189">
        <f>0</f>
        <v>0</v>
      </c>
      <c r="Y65" s="189">
        <f>0</f>
        <v>0</v>
      </c>
      <c r="Z65" s="189">
        <f>0</f>
        <v>0</v>
      </c>
      <c r="AA65" s="189">
        <f>0</f>
        <v>0</v>
      </c>
      <c r="AB65" s="189">
        <f>0</f>
        <v>0</v>
      </c>
      <c r="AC65" s="189">
        <f>0</f>
        <v>0</v>
      </c>
      <c r="AD65" s="189">
        <f>0</f>
        <v>0</v>
      </c>
      <c r="AE65" s="189">
        <f>0</f>
        <v>0</v>
      </c>
      <c r="AF65" s="189">
        <f>0</f>
        <v>0</v>
      </c>
      <c r="AG65" s="189">
        <f>0</f>
        <v>0</v>
      </c>
      <c r="AH65" s="189">
        <f>0</f>
        <v>0</v>
      </c>
      <c r="AI65" s="189">
        <f>0</f>
        <v>0</v>
      </c>
      <c r="AJ65" s="189">
        <f>0</f>
        <v>0</v>
      </c>
      <c r="AK65" s="189">
        <f>0</f>
        <v>0</v>
      </c>
      <c r="AL65" s="190">
        <f>0</f>
        <v>0</v>
      </c>
    </row>
    <row r="66" spans="2:39" outlineLevel="3">
      <c r="B66" s="285" t="s">
        <v>348</v>
      </c>
      <c r="C66" s="288" t="s">
        <v>349</v>
      </c>
      <c r="D66" s="289" t="s">
        <v>350</v>
      </c>
      <c r="E66" s="185">
        <f>4013045.59</f>
        <v>4013045.59</v>
      </c>
      <c r="F66" s="186">
        <f>0</f>
        <v>0</v>
      </c>
      <c r="G66" s="186">
        <f>2624024</f>
        <v>2624024</v>
      </c>
      <c r="H66" s="187">
        <f>0</f>
        <v>0</v>
      </c>
      <c r="I66" s="188">
        <f>2383827</f>
        <v>2383827</v>
      </c>
      <c r="J66" s="189">
        <f>1936628</f>
        <v>1936628</v>
      </c>
      <c r="K66" s="189">
        <f>2207617</f>
        <v>2207617</v>
      </c>
      <c r="L66" s="189">
        <f>2653981</f>
        <v>2653981</v>
      </c>
      <c r="M66" s="189">
        <f>2795000</f>
        <v>2795000</v>
      </c>
      <c r="N66" s="189">
        <f>3506800</f>
        <v>3506800</v>
      </c>
      <c r="O66" s="189">
        <f>3559500</f>
        <v>3559500</v>
      </c>
      <c r="P66" s="189">
        <f>6334000</f>
        <v>6334000</v>
      </c>
      <c r="Q66" s="189">
        <f>9160000</f>
        <v>9160000</v>
      </c>
      <c r="R66" s="189">
        <f>9810000</f>
        <v>9810000</v>
      </c>
      <c r="S66" s="189">
        <f>0</f>
        <v>0</v>
      </c>
      <c r="T66" s="189">
        <f>0</f>
        <v>0</v>
      </c>
      <c r="U66" s="189">
        <f>0</f>
        <v>0</v>
      </c>
      <c r="V66" s="189">
        <f>0</f>
        <v>0</v>
      </c>
      <c r="W66" s="189">
        <f>0</f>
        <v>0</v>
      </c>
      <c r="X66" s="189">
        <f>0</f>
        <v>0</v>
      </c>
      <c r="Y66" s="189">
        <f>0</f>
        <v>0</v>
      </c>
      <c r="Z66" s="189">
        <f>0</f>
        <v>0</v>
      </c>
      <c r="AA66" s="189">
        <f>0</f>
        <v>0</v>
      </c>
      <c r="AB66" s="189">
        <f>0</f>
        <v>0</v>
      </c>
      <c r="AC66" s="189">
        <f>0</f>
        <v>0</v>
      </c>
      <c r="AD66" s="189">
        <f>0</f>
        <v>0</v>
      </c>
      <c r="AE66" s="189">
        <f>0</f>
        <v>0</v>
      </c>
      <c r="AF66" s="189">
        <f>0</f>
        <v>0</v>
      </c>
      <c r="AG66" s="189">
        <f>0</f>
        <v>0</v>
      </c>
      <c r="AH66" s="189">
        <f>0</f>
        <v>0</v>
      </c>
      <c r="AI66" s="189">
        <f>0</f>
        <v>0</v>
      </c>
      <c r="AJ66" s="189">
        <f>0</f>
        <v>0</v>
      </c>
      <c r="AK66" s="189">
        <f>0</f>
        <v>0</v>
      </c>
      <c r="AL66" s="190">
        <f>0</f>
        <v>0</v>
      </c>
    </row>
    <row r="67" spans="2:39" outlineLevel="2">
      <c r="B67" s="285" t="s">
        <v>351</v>
      </c>
      <c r="C67" s="288" t="s">
        <v>352</v>
      </c>
      <c r="D67" s="287" t="s">
        <v>353</v>
      </c>
      <c r="E67" s="185">
        <f>0</f>
        <v>0</v>
      </c>
      <c r="F67" s="186">
        <f>0</f>
        <v>0</v>
      </c>
      <c r="G67" s="186">
        <f>969733</f>
        <v>969733</v>
      </c>
      <c r="H67" s="187">
        <f>0</f>
        <v>0</v>
      </c>
      <c r="I67" s="188">
        <f>2232936</f>
        <v>2232936</v>
      </c>
      <c r="J67" s="189">
        <f>1186044</f>
        <v>1186044</v>
      </c>
      <c r="K67" s="189">
        <f>1357617</f>
        <v>1357617</v>
      </c>
      <c r="L67" s="189">
        <f>2523981</f>
        <v>2523981</v>
      </c>
      <c r="M67" s="189">
        <f>0</f>
        <v>0</v>
      </c>
      <c r="N67" s="189">
        <f>0</f>
        <v>0</v>
      </c>
      <c r="O67" s="189">
        <f>0</f>
        <v>0</v>
      </c>
      <c r="P67" s="189">
        <f>0</f>
        <v>0</v>
      </c>
      <c r="Q67" s="189">
        <f>0</f>
        <v>0</v>
      </c>
      <c r="R67" s="189">
        <f>0</f>
        <v>0</v>
      </c>
      <c r="S67" s="189">
        <f>0</f>
        <v>0</v>
      </c>
      <c r="T67" s="189">
        <f>0</f>
        <v>0</v>
      </c>
      <c r="U67" s="189">
        <f>0</f>
        <v>0</v>
      </c>
      <c r="V67" s="189">
        <f>0</f>
        <v>0</v>
      </c>
      <c r="W67" s="189">
        <f>0</f>
        <v>0</v>
      </c>
      <c r="X67" s="189">
        <f>0</f>
        <v>0</v>
      </c>
      <c r="Y67" s="189">
        <f>0</f>
        <v>0</v>
      </c>
      <c r="Z67" s="189">
        <f>0</f>
        <v>0</v>
      </c>
      <c r="AA67" s="189">
        <f>0</f>
        <v>0</v>
      </c>
      <c r="AB67" s="189">
        <f>0</f>
        <v>0</v>
      </c>
      <c r="AC67" s="189">
        <f>0</f>
        <v>0</v>
      </c>
      <c r="AD67" s="189">
        <f>0</f>
        <v>0</v>
      </c>
      <c r="AE67" s="189">
        <f>0</f>
        <v>0</v>
      </c>
      <c r="AF67" s="189">
        <f>0</f>
        <v>0</v>
      </c>
      <c r="AG67" s="189">
        <f>0</f>
        <v>0</v>
      </c>
      <c r="AH67" s="189">
        <f>0</f>
        <v>0</v>
      </c>
      <c r="AI67" s="189">
        <f>0</f>
        <v>0</v>
      </c>
      <c r="AJ67" s="189">
        <f>0</f>
        <v>0</v>
      </c>
      <c r="AK67" s="189">
        <f>0</f>
        <v>0</v>
      </c>
      <c r="AL67" s="190">
        <f>0</f>
        <v>0</v>
      </c>
    </row>
    <row r="68" spans="2:39" outlineLevel="2">
      <c r="B68" s="285" t="s">
        <v>354</v>
      </c>
      <c r="C68" s="288" t="s">
        <v>355</v>
      </c>
      <c r="D68" s="287" t="s">
        <v>356</v>
      </c>
      <c r="E68" s="185">
        <f>0</f>
        <v>0</v>
      </c>
      <c r="F68" s="186">
        <f>0</f>
        <v>0</v>
      </c>
      <c r="G68" s="186">
        <f>1654291</f>
        <v>1654291</v>
      </c>
      <c r="H68" s="187">
        <f>0</f>
        <v>0</v>
      </c>
      <c r="I68" s="188">
        <f>150891</f>
        <v>150891</v>
      </c>
      <c r="J68" s="189">
        <f>750584</f>
        <v>750584</v>
      </c>
      <c r="K68" s="189">
        <f>850000</f>
        <v>850000</v>
      </c>
      <c r="L68" s="189">
        <f>210000</f>
        <v>210000</v>
      </c>
      <c r="M68" s="189">
        <f>0</f>
        <v>0</v>
      </c>
      <c r="N68" s="189">
        <f>0</f>
        <v>0</v>
      </c>
      <c r="O68" s="189">
        <f>0</f>
        <v>0</v>
      </c>
      <c r="P68" s="189">
        <f>0</f>
        <v>0</v>
      </c>
      <c r="Q68" s="189">
        <f>0</f>
        <v>0</v>
      </c>
      <c r="R68" s="189">
        <f>0</f>
        <v>0</v>
      </c>
      <c r="S68" s="189">
        <f>0</f>
        <v>0</v>
      </c>
      <c r="T68" s="189">
        <f>0</f>
        <v>0</v>
      </c>
      <c r="U68" s="189">
        <f>0</f>
        <v>0</v>
      </c>
      <c r="V68" s="189">
        <f>0</f>
        <v>0</v>
      </c>
      <c r="W68" s="189">
        <f>0</f>
        <v>0</v>
      </c>
      <c r="X68" s="189">
        <f>0</f>
        <v>0</v>
      </c>
      <c r="Y68" s="189">
        <f>0</f>
        <v>0</v>
      </c>
      <c r="Z68" s="189">
        <f>0</f>
        <v>0</v>
      </c>
      <c r="AA68" s="189">
        <f>0</f>
        <v>0</v>
      </c>
      <c r="AB68" s="189">
        <f>0</f>
        <v>0</v>
      </c>
      <c r="AC68" s="189">
        <f>0</f>
        <v>0</v>
      </c>
      <c r="AD68" s="189">
        <f>0</f>
        <v>0</v>
      </c>
      <c r="AE68" s="189">
        <f>0</f>
        <v>0</v>
      </c>
      <c r="AF68" s="189">
        <f>0</f>
        <v>0</v>
      </c>
      <c r="AG68" s="189">
        <f>0</f>
        <v>0</v>
      </c>
      <c r="AH68" s="189">
        <f>0</f>
        <v>0</v>
      </c>
      <c r="AI68" s="189">
        <f>0</f>
        <v>0</v>
      </c>
      <c r="AJ68" s="189">
        <f>0</f>
        <v>0</v>
      </c>
      <c r="AK68" s="189">
        <f>0</f>
        <v>0</v>
      </c>
      <c r="AL68" s="190">
        <f>0</f>
        <v>0</v>
      </c>
    </row>
    <row r="69" spans="2:39" outlineLevel="2">
      <c r="B69" s="285" t="s">
        <v>357</v>
      </c>
      <c r="C69" s="288" t="s">
        <v>358</v>
      </c>
      <c r="D69" s="287" t="s">
        <v>359</v>
      </c>
      <c r="E69" s="185">
        <f>0</f>
        <v>0</v>
      </c>
      <c r="F69" s="186">
        <f>0</f>
        <v>0</v>
      </c>
      <c r="G69" s="186">
        <f>0</f>
        <v>0</v>
      </c>
      <c r="H69" s="187">
        <f>50000</f>
        <v>50000</v>
      </c>
      <c r="I69" s="188">
        <f>15000</f>
        <v>15000</v>
      </c>
      <c r="J69" s="189">
        <f>0</f>
        <v>0</v>
      </c>
      <c r="K69" s="189">
        <f>0</f>
        <v>0</v>
      </c>
      <c r="L69" s="189">
        <f>0</f>
        <v>0</v>
      </c>
      <c r="M69" s="189">
        <f>0</f>
        <v>0</v>
      </c>
      <c r="N69" s="189">
        <f>0</f>
        <v>0</v>
      </c>
      <c r="O69" s="189">
        <f>0</f>
        <v>0</v>
      </c>
      <c r="P69" s="189">
        <f>0</f>
        <v>0</v>
      </c>
      <c r="Q69" s="189">
        <f>0</f>
        <v>0</v>
      </c>
      <c r="R69" s="189">
        <f>0</f>
        <v>0</v>
      </c>
      <c r="S69" s="189">
        <f>0</f>
        <v>0</v>
      </c>
      <c r="T69" s="189">
        <f>0</f>
        <v>0</v>
      </c>
      <c r="U69" s="189">
        <f>0</f>
        <v>0</v>
      </c>
      <c r="V69" s="189">
        <f>0</f>
        <v>0</v>
      </c>
      <c r="W69" s="189">
        <f>0</f>
        <v>0</v>
      </c>
      <c r="X69" s="189">
        <f>0</f>
        <v>0</v>
      </c>
      <c r="Y69" s="189">
        <f>0</f>
        <v>0</v>
      </c>
      <c r="Z69" s="189">
        <f>0</f>
        <v>0</v>
      </c>
      <c r="AA69" s="189">
        <f>0</f>
        <v>0</v>
      </c>
      <c r="AB69" s="189">
        <f>0</f>
        <v>0</v>
      </c>
      <c r="AC69" s="189">
        <f>0</f>
        <v>0</v>
      </c>
      <c r="AD69" s="189">
        <f>0</f>
        <v>0</v>
      </c>
      <c r="AE69" s="189">
        <f>0</f>
        <v>0</v>
      </c>
      <c r="AF69" s="189">
        <f>0</f>
        <v>0</v>
      </c>
      <c r="AG69" s="189">
        <f>0</f>
        <v>0</v>
      </c>
      <c r="AH69" s="189">
        <f>0</f>
        <v>0</v>
      </c>
      <c r="AI69" s="189">
        <f>0</f>
        <v>0</v>
      </c>
      <c r="AJ69" s="189">
        <f>0</f>
        <v>0</v>
      </c>
      <c r="AK69" s="189">
        <f>0</f>
        <v>0</v>
      </c>
      <c r="AL69" s="190">
        <f>0</f>
        <v>0</v>
      </c>
    </row>
    <row r="70" spans="2:39" ht="24" outlineLevel="1">
      <c r="B70" s="281">
        <v>12</v>
      </c>
      <c r="C70" s="282" t="s">
        <v>360</v>
      </c>
      <c r="D70" s="283" t="s">
        <v>360</v>
      </c>
      <c r="E70" s="191" t="s">
        <v>202</v>
      </c>
      <c r="F70" s="192" t="s">
        <v>202</v>
      </c>
      <c r="G70" s="192" t="s">
        <v>202</v>
      </c>
      <c r="H70" s="193" t="s">
        <v>202</v>
      </c>
      <c r="I70" s="194" t="s">
        <v>202</v>
      </c>
      <c r="J70" s="195" t="s">
        <v>202</v>
      </c>
      <c r="K70" s="195" t="s">
        <v>202</v>
      </c>
      <c r="L70" s="195" t="s">
        <v>202</v>
      </c>
      <c r="M70" s="195" t="s">
        <v>202</v>
      </c>
      <c r="N70" s="195" t="s">
        <v>202</v>
      </c>
      <c r="O70" s="195" t="s">
        <v>202</v>
      </c>
      <c r="P70" s="195" t="s">
        <v>202</v>
      </c>
      <c r="Q70" s="195" t="s">
        <v>202</v>
      </c>
      <c r="R70" s="195" t="s">
        <v>202</v>
      </c>
      <c r="S70" s="195" t="s">
        <v>202</v>
      </c>
      <c r="T70" s="195" t="s">
        <v>202</v>
      </c>
      <c r="U70" s="195" t="s">
        <v>202</v>
      </c>
      <c r="V70" s="195" t="s">
        <v>202</v>
      </c>
      <c r="W70" s="195" t="s">
        <v>202</v>
      </c>
      <c r="X70" s="195" t="s">
        <v>202</v>
      </c>
      <c r="Y70" s="195" t="s">
        <v>202</v>
      </c>
      <c r="Z70" s="195" t="s">
        <v>202</v>
      </c>
      <c r="AA70" s="195" t="s">
        <v>202</v>
      </c>
      <c r="AB70" s="195" t="s">
        <v>202</v>
      </c>
      <c r="AC70" s="195" t="s">
        <v>202</v>
      </c>
      <c r="AD70" s="195" t="s">
        <v>202</v>
      </c>
      <c r="AE70" s="195" t="s">
        <v>202</v>
      </c>
      <c r="AF70" s="195" t="s">
        <v>202</v>
      </c>
      <c r="AG70" s="195" t="s">
        <v>202</v>
      </c>
      <c r="AH70" s="195" t="s">
        <v>202</v>
      </c>
      <c r="AI70" s="195" t="s">
        <v>202</v>
      </c>
      <c r="AJ70" s="195" t="s">
        <v>202</v>
      </c>
      <c r="AK70" s="195" t="s">
        <v>202</v>
      </c>
      <c r="AL70" s="196" t="s">
        <v>202</v>
      </c>
      <c r="AM70" s="284"/>
    </row>
    <row r="71" spans="2:39" ht="24" outlineLevel="2">
      <c r="B71" s="285" t="s">
        <v>361</v>
      </c>
      <c r="C71" s="288" t="s">
        <v>362</v>
      </c>
      <c r="D71" s="287" t="s">
        <v>363</v>
      </c>
      <c r="E71" s="185">
        <f>112228.46</f>
        <v>112228.46</v>
      </c>
      <c r="F71" s="186">
        <f>518036.87</f>
        <v>518036.87</v>
      </c>
      <c r="G71" s="186">
        <f>743864.46</f>
        <v>743864.46</v>
      </c>
      <c r="H71" s="187">
        <f>667765.52</f>
        <v>667765.52</v>
      </c>
      <c r="I71" s="188">
        <f>635275.2</f>
        <v>635275.19999999995</v>
      </c>
      <c r="J71" s="189">
        <f>213580</f>
        <v>213580</v>
      </c>
      <c r="K71" s="189">
        <f>47000</f>
        <v>47000</v>
      </c>
      <c r="L71" s="189">
        <f>47000</f>
        <v>47000</v>
      </c>
      <c r="M71" s="189">
        <f>0</f>
        <v>0</v>
      </c>
      <c r="N71" s="189">
        <f>0</f>
        <v>0</v>
      </c>
      <c r="O71" s="189">
        <f>0</f>
        <v>0</v>
      </c>
      <c r="P71" s="189">
        <f>0</f>
        <v>0</v>
      </c>
      <c r="Q71" s="189">
        <f>0</f>
        <v>0</v>
      </c>
      <c r="R71" s="189">
        <f>0</f>
        <v>0</v>
      </c>
      <c r="S71" s="189">
        <f>0</f>
        <v>0</v>
      </c>
      <c r="T71" s="189">
        <f>0</f>
        <v>0</v>
      </c>
      <c r="U71" s="189">
        <f>0</f>
        <v>0</v>
      </c>
      <c r="V71" s="189">
        <f>0</f>
        <v>0</v>
      </c>
      <c r="W71" s="189">
        <f>0</f>
        <v>0</v>
      </c>
      <c r="X71" s="189">
        <f>0</f>
        <v>0</v>
      </c>
      <c r="Y71" s="189">
        <f>0</f>
        <v>0</v>
      </c>
      <c r="Z71" s="189">
        <f>0</f>
        <v>0</v>
      </c>
      <c r="AA71" s="189">
        <f>0</f>
        <v>0</v>
      </c>
      <c r="AB71" s="189">
        <f>0</f>
        <v>0</v>
      </c>
      <c r="AC71" s="189">
        <f>0</f>
        <v>0</v>
      </c>
      <c r="AD71" s="189">
        <f>0</f>
        <v>0</v>
      </c>
      <c r="AE71" s="189">
        <f>0</f>
        <v>0</v>
      </c>
      <c r="AF71" s="189">
        <f>0</f>
        <v>0</v>
      </c>
      <c r="AG71" s="189">
        <f>0</f>
        <v>0</v>
      </c>
      <c r="AH71" s="189">
        <f>0</f>
        <v>0</v>
      </c>
      <c r="AI71" s="189">
        <f>0</f>
        <v>0</v>
      </c>
      <c r="AJ71" s="189">
        <f>0</f>
        <v>0</v>
      </c>
      <c r="AK71" s="189">
        <f>0</f>
        <v>0</v>
      </c>
      <c r="AL71" s="190">
        <f>0</f>
        <v>0</v>
      </c>
    </row>
    <row r="72" spans="2:39" outlineLevel="3">
      <c r="B72" s="285" t="s">
        <v>364</v>
      </c>
      <c r="C72" s="288" t="s">
        <v>365</v>
      </c>
      <c r="D72" s="294" t="s">
        <v>366</v>
      </c>
      <c r="E72" s="185">
        <f>112228.46</f>
        <v>112228.46</v>
      </c>
      <c r="F72" s="186">
        <f>518036.87</f>
        <v>518036.87</v>
      </c>
      <c r="G72" s="186">
        <f>519567.25</f>
        <v>519567.25</v>
      </c>
      <c r="H72" s="187">
        <f>595918.33</f>
        <v>595918.32999999996</v>
      </c>
      <c r="I72" s="188">
        <f>572007.19</f>
        <v>572007.18999999994</v>
      </c>
      <c r="J72" s="189">
        <f>193130</f>
        <v>193130</v>
      </c>
      <c r="K72" s="189">
        <f>42500</f>
        <v>42500</v>
      </c>
      <c r="L72" s="189">
        <f>42500</f>
        <v>42500</v>
      </c>
      <c r="M72" s="189">
        <f>0</f>
        <v>0</v>
      </c>
      <c r="N72" s="189">
        <f>0</f>
        <v>0</v>
      </c>
      <c r="O72" s="189">
        <f>0</f>
        <v>0</v>
      </c>
      <c r="P72" s="189">
        <f>0</f>
        <v>0</v>
      </c>
      <c r="Q72" s="189">
        <f>0</f>
        <v>0</v>
      </c>
      <c r="R72" s="189">
        <f>0</f>
        <v>0</v>
      </c>
      <c r="S72" s="189">
        <f>0</f>
        <v>0</v>
      </c>
      <c r="T72" s="189">
        <f>0</f>
        <v>0</v>
      </c>
      <c r="U72" s="189">
        <f>0</f>
        <v>0</v>
      </c>
      <c r="V72" s="189">
        <f>0</f>
        <v>0</v>
      </c>
      <c r="W72" s="189">
        <f>0</f>
        <v>0</v>
      </c>
      <c r="X72" s="189">
        <f>0</f>
        <v>0</v>
      </c>
      <c r="Y72" s="189">
        <f>0</f>
        <v>0</v>
      </c>
      <c r="Z72" s="189">
        <f>0</f>
        <v>0</v>
      </c>
      <c r="AA72" s="189">
        <f>0</f>
        <v>0</v>
      </c>
      <c r="AB72" s="189">
        <f>0</f>
        <v>0</v>
      </c>
      <c r="AC72" s="189">
        <f>0</f>
        <v>0</v>
      </c>
      <c r="AD72" s="189">
        <f>0</f>
        <v>0</v>
      </c>
      <c r="AE72" s="189">
        <f>0</f>
        <v>0</v>
      </c>
      <c r="AF72" s="189">
        <f>0</f>
        <v>0</v>
      </c>
      <c r="AG72" s="189">
        <f>0</f>
        <v>0</v>
      </c>
      <c r="AH72" s="189">
        <f>0</f>
        <v>0</v>
      </c>
      <c r="AI72" s="189">
        <f>0</f>
        <v>0</v>
      </c>
      <c r="AJ72" s="189">
        <f>0</f>
        <v>0</v>
      </c>
      <c r="AK72" s="189">
        <f>0</f>
        <v>0</v>
      </c>
      <c r="AL72" s="190">
        <f>0</f>
        <v>0</v>
      </c>
    </row>
    <row r="73" spans="2:39" ht="36" outlineLevel="4">
      <c r="B73" s="285" t="s">
        <v>367</v>
      </c>
      <c r="C73" s="288" t="s">
        <v>368</v>
      </c>
      <c r="D73" s="295" t="s">
        <v>369</v>
      </c>
      <c r="E73" s="185">
        <f>0</f>
        <v>0</v>
      </c>
      <c r="F73" s="186">
        <f>0</f>
        <v>0</v>
      </c>
      <c r="G73" s="186">
        <f>519567.25</f>
        <v>519567.25</v>
      </c>
      <c r="H73" s="187">
        <f>595918.33</f>
        <v>595918.32999999996</v>
      </c>
      <c r="I73" s="188">
        <f>572007.19</f>
        <v>572007.18999999994</v>
      </c>
      <c r="J73" s="189">
        <f>0</f>
        <v>0</v>
      </c>
      <c r="K73" s="189">
        <f>0</f>
        <v>0</v>
      </c>
      <c r="L73" s="189">
        <f>0</f>
        <v>0</v>
      </c>
      <c r="M73" s="189">
        <f>0</f>
        <v>0</v>
      </c>
      <c r="N73" s="189">
        <f>0</f>
        <v>0</v>
      </c>
      <c r="O73" s="189">
        <f>0</f>
        <v>0</v>
      </c>
      <c r="P73" s="189">
        <f>0</f>
        <v>0</v>
      </c>
      <c r="Q73" s="189">
        <f>0</f>
        <v>0</v>
      </c>
      <c r="R73" s="189">
        <f>0</f>
        <v>0</v>
      </c>
      <c r="S73" s="189">
        <f>0</f>
        <v>0</v>
      </c>
      <c r="T73" s="189">
        <f>0</f>
        <v>0</v>
      </c>
      <c r="U73" s="189">
        <f>0</f>
        <v>0</v>
      </c>
      <c r="V73" s="189">
        <f>0</f>
        <v>0</v>
      </c>
      <c r="W73" s="189">
        <f>0</f>
        <v>0</v>
      </c>
      <c r="X73" s="189">
        <f>0</f>
        <v>0</v>
      </c>
      <c r="Y73" s="189">
        <f>0</f>
        <v>0</v>
      </c>
      <c r="Z73" s="189">
        <f>0</f>
        <v>0</v>
      </c>
      <c r="AA73" s="189">
        <f>0</f>
        <v>0</v>
      </c>
      <c r="AB73" s="189">
        <f>0</f>
        <v>0</v>
      </c>
      <c r="AC73" s="189">
        <f>0</f>
        <v>0</v>
      </c>
      <c r="AD73" s="189">
        <f>0</f>
        <v>0</v>
      </c>
      <c r="AE73" s="189">
        <f>0</f>
        <v>0</v>
      </c>
      <c r="AF73" s="189">
        <f>0</f>
        <v>0</v>
      </c>
      <c r="AG73" s="189">
        <f>0</f>
        <v>0</v>
      </c>
      <c r="AH73" s="189">
        <f>0</f>
        <v>0</v>
      </c>
      <c r="AI73" s="189">
        <f>0</f>
        <v>0</v>
      </c>
      <c r="AJ73" s="189">
        <f>0</f>
        <v>0</v>
      </c>
      <c r="AK73" s="189">
        <f>0</f>
        <v>0</v>
      </c>
      <c r="AL73" s="190">
        <f>0</f>
        <v>0</v>
      </c>
    </row>
    <row r="74" spans="2:39" ht="24" outlineLevel="2">
      <c r="B74" s="285" t="s">
        <v>370</v>
      </c>
      <c r="C74" s="288" t="s">
        <v>371</v>
      </c>
      <c r="D74" s="287" t="s">
        <v>372</v>
      </c>
      <c r="E74" s="185">
        <f>2533289.46</f>
        <v>2533289.46</v>
      </c>
      <c r="F74" s="186">
        <f>2345848.47</f>
        <v>2345848.4700000002</v>
      </c>
      <c r="G74" s="186">
        <f>1674776</f>
        <v>1674776</v>
      </c>
      <c r="H74" s="187">
        <f>1341580.04</f>
        <v>1341580.04</v>
      </c>
      <c r="I74" s="188">
        <f>834288</f>
        <v>834288</v>
      </c>
      <c r="J74" s="189">
        <f>81000</f>
        <v>81000</v>
      </c>
      <c r="K74" s="189">
        <f>323000</f>
        <v>323000</v>
      </c>
      <c r="L74" s="189">
        <f>751000</f>
        <v>751000</v>
      </c>
      <c r="M74" s="189">
        <f>897500</f>
        <v>897500</v>
      </c>
      <c r="N74" s="189">
        <f>1183800</f>
        <v>1183800</v>
      </c>
      <c r="O74" s="189">
        <f>920000</f>
        <v>920000</v>
      </c>
      <c r="P74" s="189">
        <f>2380000</f>
        <v>2380000</v>
      </c>
      <c r="Q74" s="189">
        <f>4030000</f>
        <v>4030000</v>
      </c>
      <c r="R74" s="189">
        <f>4570000</f>
        <v>4570000</v>
      </c>
      <c r="S74" s="189">
        <f>0</f>
        <v>0</v>
      </c>
      <c r="T74" s="189">
        <f>0</f>
        <v>0</v>
      </c>
      <c r="U74" s="189">
        <f>0</f>
        <v>0</v>
      </c>
      <c r="V74" s="189">
        <f>0</f>
        <v>0</v>
      </c>
      <c r="W74" s="189">
        <f>0</f>
        <v>0</v>
      </c>
      <c r="X74" s="189">
        <f>0</f>
        <v>0</v>
      </c>
      <c r="Y74" s="189">
        <f>0</f>
        <v>0</v>
      </c>
      <c r="Z74" s="189">
        <f>0</f>
        <v>0</v>
      </c>
      <c r="AA74" s="189">
        <f>0</f>
        <v>0</v>
      </c>
      <c r="AB74" s="189">
        <f>0</f>
        <v>0</v>
      </c>
      <c r="AC74" s="189">
        <f>0</f>
        <v>0</v>
      </c>
      <c r="AD74" s="189">
        <f>0</f>
        <v>0</v>
      </c>
      <c r="AE74" s="189">
        <f>0</f>
        <v>0</v>
      </c>
      <c r="AF74" s="189">
        <f>0</f>
        <v>0</v>
      </c>
      <c r="AG74" s="189">
        <f>0</f>
        <v>0</v>
      </c>
      <c r="AH74" s="189">
        <f>0</f>
        <v>0</v>
      </c>
      <c r="AI74" s="189">
        <f>0</f>
        <v>0</v>
      </c>
      <c r="AJ74" s="189">
        <f>0</f>
        <v>0</v>
      </c>
      <c r="AK74" s="189">
        <f>0</f>
        <v>0</v>
      </c>
      <c r="AL74" s="190">
        <f>0</f>
        <v>0</v>
      </c>
    </row>
    <row r="75" spans="2:39" outlineLevel="3">
      <c r="B75" s="285" t="s">
        <v>373</v>
      </c>
      <c r="C75" s="288" t="s">
        <v>374</v>
      </c>
      <c r="D75" s="294" t="s">
        <v>366</v>
      </c>
      <c r="E75" s="185">
        <f>2533289.46</f>
        <v>2533289.46</v>
      </c>
      <c r="F75" s="186">
        <f>2345848.47</f>
        <v>2345848.4700000002</v>
      </c>
      <c r="G75" s="186">
        <f>1674776</f>
        <v>1674776</v>
      </c>
      <c r="H75" s="187">
        <f>1311948.96</f>
        <v>1311948.96</v>
      </c>
      <c r="I75" s="188">
        <f>834288</f>
        <v>834288</v>
      </c>
      <c r="J75" s="189">
        <f>81000</f>
        <v>81000</v>
      </c>
      <c r="K75" s="189">
        <f>323000</f>
        <v>323000</v>
      </c>
      <c r="L75" s="189">
        <f>751000</f>
        <v>751000</v>
      </c>
      <c r="M75" s="189">
        <f>897500</f>
        <v>897500</v>
      </c>
      <c r="N75" s="189">
        <f>1183800</f>
        <v>1183800</v>
      </c>
      <c r="O75" s="189">
        <f>920000</f>
        <v>920000</v>
      </c>
      <c r="P75" s="189">
        <f>2380000</f>
        <v>2380000</v>
      </c>
      <c r="Q75" s="189">
        <f>4030000</f>
        <v>4030000</v>
      </c>
      <c r="R75" s="189">
        <f>4570000</f>
        <v>4570000</v>
      </c>
      <c r="S75" s="189">
        <f>0</f>
        <v>0</v>
      </c>
      <c r="T75" s="189">
        <f>0</f>
        <v>0</v>
      </c>
      <c r="U75" s="189">
        <f>0</f>
        <v>0</v>
      </c>
      <c r="V75" s="189">
        <f>0</f>
        <v>0</v>
      </c>
      <c r="W75" s="189">
        <f>0</f>
        <v>0</v>
      </c>
      <c r="X75" s="189">
        <f>0</f>
        <v>0</v>
      </c>
      <c r="Y75" s="189">
        <f>0</f>
        <v>0</v>
      </c>
      <c r="Z75" s="189">
        <f>0</f>
        <v>0</v>
      </c>
      <c r="AA75" s="189">
        <f>0</f>
        <v>0</v>
      </c>
      <c r="AB75" s="189">
        <f>0</f>
        <v>0</v>
      </c>
      <c r="AC75" s="189">
        <f>0</f>
        <v>0</v>
      </c>
      <c r="AD75" s="189">
        <f>0</f>
        <v>0</v>
      </c>
      <c r="AE75" s="189">
        <f>0</f>
        <v>0</v>
      </c>
      <c r="AF75" s="189">
        <f>0</f>
        <v>0</v>
      </c>
      <c r="AG75" s="189">
        <f>0</f>
        <v>0</v>
      </c>
      <c r="AH75" s="189">
        <f>0</f>
        <v>0</v>
      </c>
      <c r="AI75" s="189">
        <f>0</f>
        <v>0</v>
      </c>
      <c r="AJ75" s="189">
        <f>0</f>
        <v>0</v>
      </c>
      <c r="AK75" s="189">
        <f>0</f>
        <v>0</v>
      </c>
      <c r="AL75" s="190">
        <f>0</f>
        <v>0</v>
      </c>
    </row>
    <row r="76" spans="2:39" ht="36" outlineLevel="4">
      <c r="B76" s="285" t="s">
        <v>375</v>
      </c>
      <c r="C76" s="288" t="s">
        <v>376</v>
      </c>
      <c r="D76" s="295" t="s">
        <v>377</v>
      </c>
      <c r="E76" s="185">
        <f>0</f>
        <v>0</v>
      </c>
      <c r="F76" s="186">
        <f>0</f>
        <v>0</v>
      </c>
      <c r="G76" s="186">
        <f>1674776</f>
        <v>1674776</v>
      </c>
      <c r="H76" s="187">
        <f>1311948.96</f>
        <v>1311948.96</v>
      </c>
      <c r="I76" s="188">
        <f>834288</f>
        <v>834288</v>
      </c>
      <c r="J76" s="189">
        <f>0</f>
        <v>0</v>
      </c>
      <c r="K76" s="189">
        <f>0</f>
        <v>0</v>
      </c>
      <c r="L76" s="189">
        <f>0</f>
        <v>0</v>
      </c>
      <c r="M76" s="189">
        <f>0</f>
        <v>0</v>
      </c>
      <c r="N76" s="189">
        <f>0</f>
        <v>0</v>
      </c>
      <c r="O76" s="189">
        <f>0</f>
        <v>0</v>
      </c>
      <c r="P76" s="189">
        <f>0</f>
        <v>0</v>
      </c>
      <c r="Q76" s="189">
        <f>0</f>
        <v>0</v>
      </c>
      <c r="R76" s="189">
        <f>0</f>
        <v>0</v>
      </c>
      <c r="S76" s="189">
        <f>0</f>
        <v>0</v>
      </c>
      <c r="T76" s="189">
        <f>0</f>
        <v>0</v>
      </c>
      <c r="U76" s="189">
        <f>0</f>
        <v>0</v>
      </c>
      <c r="V76" s="189">
        <f>0</f>
        <v>0</v>
      </c>
      <c r="W76" s="189">
        <f>0</f>
        <v>0</v>
      </c>
      <c r="X76" s="189">
        <f>0</f>
        <v>0</v>
      </c>
      <c r="Y76" s="189">
        <f>0</f>
        <v>0</v>
      </c>
      <c r="Z76" s="189">
        <f>0</f>
        <v>0</v>
      </c>
      <c r="AA76" s="189">
        <f>0</f>
        <v>0</v>
      </c>
      <c r="AB76" s="189">
        <f>0</f>
        <v>0</v>
      </c>
      <c r="AC76" s="189">
        <f>0</f>
        <v>0</v>
      </c>
      <c r="AD76" s="189">
        <f>0</f>
        <v>0</v>
      </c>
      <c r="AE76" s="189">
        <f>0</f>
        <v>0</v>
      </c>
      <c r="AF76" s="189">
        <f>0</f>
        <v>0</v>
      </c>
      <c r="AG76" s="189">
        <f>0</f>
        <v>0</v>
      </c>
      <c r="AH76" s="189">
        <f>0</f>
        <v>0</v>
      </c>
      <c r="AI76" s="189">
        <f>0</f>
        <v>0</v>
      </c>
      <c r="AJ76" s="189">
        <f>0</f>
        <v>0</v>
      </c>
      <c r="AK76" s="189">
        <f>0</f>
        <v>0</v>
      </c>
      <c r="AL76" s="190">
        <f>0</f>
        <v>0</v>
      </c>
    </row>
    <row r="77" spans="2:39" ht="24" outlineLevel="2">
      <c r="B77" s="285" t="s">
        <v>378</v>
      </c>
      <c r="C77" s="288" t="s">
        <v>379</v>
      </c>
      <c r="D77" s="287" t="s">
        <v>380</v>
      </c>
      <c r="E77" s="185">
        <f>0</f>
        <v>0</v>
      </c>
      <c r="F77" s="186">
        <f>771596.52</f>
        <v>771596.52</v>
      </c>
      <c r="G77" s="186">
        <f>630827.4</f>
        <v>630827.4</v>
      </c>
      <c r="H77" s="187">
        <f>629605.21</f>
        <v>629605.21</v>
      </c>
      <c r="I77" s="188">
        <f>688148.22</f>
        <v>688148.22</v>
      </c>
      <c r="J77" s="189">
        <f>287212</f>
        <v>287212</v>
      </c>
      <c r="K77" s="189">
        <f>110000</f>
        <v>110000</v>
      </c>
      <c r="L77" s="189">
        <f>110000</f>
        <v>110000</v>
      </c>
      <c r="M77" s="189">
        <f>60000</f>
        <v>60000</v>
      </c>
      <c r="N77" s="189">
        <f>60000</f>
        <v>60000</v>
      </c>
      <c r="O77" s="189">
        <f>0</f>
        <v>0</v>
      </c>
      <c r="P77" s="189">
        <f>0</f>
        <v>0</v>
      </c>
      <c r="Q77" s="189">
        <f>0</f>
        <v>0</v>
      </c>
      <c r="R77" s="189">
        <f>0</f>
        <v>0</v>
      </c>
      <c r="S77" s="189">
        <f>0</f>
        <v>0</v>
      </c>
      <c r="T77" s="189">
        <f>0</f>
        <v>0</v>
      </c>
      <c r="U77" s="189">
        <f>0</f>
        <v>0</v>
      </c>
      <c r="V77" s="189">
        <f>0</f>
        <v>0</v>
      </c>
      <c r="W77" s="189">
        <f>0</f>
        <v>0</v>
      </c>
      <c r="X77" s="189">
        <f>0</f>
        <v>0</v>
      </c>
      <c r="Y77" s="189">
        <f>0</f>
        <v>0</v>
      </c>
      <c r="Z77" s="189">
        <f>0</f>
        <v>0</v>
      </c>
      <c r="AA77" s="189">
        <f>0</f>
        <v>0</v>
      </c>
      <c r="AB77" s="189">
        <f>0</f>
        <v>0</v>
      </c>
      <c r="AC77" s="189">
        <f>0</f>
        <v>0</v>
      </c>
      <c r="AD77" s="189">
        <f>0</f>
        <v>0</v>
      </c>
      <c r="AE77" s="189">
        <f>0</f>
        <v>0</v>
      </c>
      <c r="AF77" s="189">
        <f>0</f>
        <v>0</v>
      </c>
      <c r="AG77" s="189">
        <f>0</f>
        <v>0</v>
      </c>
      <c r="AH77" s="189">
        <f>0</f>
        <v>0</v>
      </c>
      <c r="AI77" s="189">
        <f>0</f>
        <v>0</v>
      </c>
      <c r="AJ77" s="189">
        <f>0</f>
        <v>0</v>
      </c>
      <c r="AK77" s="189">
        <f>0</f>
        <v>0</v>
      </c>
      <c r="AL77" s="190">
        <f>0</f>
        <v>0</v>
      </c>
    </row>
    <row r="78" spans="2:39" outlineLevel="3">
      <c r="B78" s="285" t="s">
        <v>381</v>
      </c>
      <c r="C78" s="288" t="s">
        <v>382</v>
      </c>
      <c r="D78" s="294" t="s">
        <v>383</v>
      </c>
      <c r="E78" s="185">
        <f>0</f>
        <v>0</v>
      </c>
      <c r="F78" s="186">
        <f>518036.87</f>
        <v>518036.87</v>
      </c>
      <c r="G78" s="186">
        <f>524218</f>
        <v>524218</v>
      </c>
      <c r="H78" s="187">
        <f>535009.94</f>
        <v>535009.93999999994</v>
      </c>
      <c r="I78" s="188">
        <f>531687</f>
        <v>531687</v>
      </c>
      <c r="J78" s="189">
        <f>193130</f>
        <v>193130</v>
      </c>
      <c r="K78" s="189">
        <f>42500</f>
        <v>42500</v>
      </c>
      <c r="L78" s="189">
        <f>42500</f>
        <v>42500</v>
      </c>
      <c r="M78" s="189">
        <f>0</f>
        <v>0</v>
      </c>
      <c r="N78" s="189">
        <f>0</f>
        <v>0</v>
      </c>
      <c r="O78" s="189">
        <f>0</f>
        <v>0</v>
      </c>
      <c r="P78" s="189">
        <f>0</f>
        <v>0</v>
      </c>
      <c r="Q78" s="189">
        <f>0</f>
        <v>0</v>
      </c>
      <c r="R78" s="189">
        <f>0</f>
        <v>0</v>
      </c>
      <c r="S78" s="189">
        <f>0</f>
        <v>0</v>
      </c>
      <c r="T78" s="189">
        <f>0</f>
        <v>0</v>
      </c>
      <c r="U78" s="189">
        <f>0</f>
        <v>0</v>
      </c>
      <c r="V78" s="189">
        <f>0</f>
        <v>0</v>
      </c>
      <c r="W78" s="189">
        <f>0</f>
        <v>0</v>
      </c>
      <c r="X78" s="189">
        <f>0</f>
        <v>0</v>
      </c>
      <c r="Y78" s="189">
        <f>0</f>
        <v>0</v>
      </c>
      <c r="Z78" s="189">
        <f>0</f>
        <v>0</v>
      </c>
      <c r="AA78" s="189">
        <f>0</f>
        <v>0</v>
      </c>
      <c r="AB78" s="189">
        <f>0</f>
        <v>0</v>
      </c>
      <c r="AC78" s="189">
        <f>0</f>
        <v>0</v>
      </c>
      <c r="AD78" s="189">
        <f>0</f>
        <v>0</v>
      </c>
      <c r="AE78" s="189">
        <f>0</f>
        <v>0</v>
      </c>
      <c r="AF78" s="189">
        <f>0</f>
        <v>0</v>
      </c>
      <c r="AG78" s="189">
        <f>0</f>
        <v>0</v>
      </c>
      <c r="AH78" s="189">
        <f>0</f>
        <v>0</v>
      </c>
      <c r="AI78" s="189">
        <f>0</f>
        <v>0</v>
      </c>
      <c r="AJ78" s="189">
        <f>0</f>
        <v>0</v>
      </c>
      <c r="AK78" s="189">
        <f>0</f>
        <v>0</v>
      </c>
      <c r="AL78" s="190">
        <f>0</f>
        <v>0</v>
      </c>
    </row>
    <row r="79" spans="2:39" ht="36" outlineLevel="3">
      <c r="B79" s="285" t="s">
        <v>384</v>
      </c>
      <c r="C79" s="288" t="s">
        <v>385</v>
      </c>
      <c r="D79" s="289" t="s">
        <v>386</v>
      </c>
      <c r="E79" s="185">
        <f>0</f>
        <v>0</v>
      </c>
      <c r="F79" s="186">
        <f>0</f>
        <v>0</v>
      </c>
      <c r="G79" s="186">
        <f>0</f>
        <v>0</v>
      </c>
      <c r="H79" s="187">
        <f>0</f>
        <v>0</v>
      </c>
      <c r="I79" s="188">
        <f>0</f>
        <v>0</v>
      </c>
      <c r="J79" s="189">
        <f>0</f>
        <v>0</v>
      </c>
      <c r="K79" s="189">
        <f>0</f>
        <v>0</v>
      </c>
      <c r="L79" s="189">
        <f>0</f>
        <v>0</v>
      </c>
      <c r="M79" s="189">
        <f>0</f>
        <v>0</v>
      </c>
      <c r="N79" s="189">
        <f>0</f>
        <v>0</v>
      </c>
      <c r="O79" s="189">
        <f>0</f>
        <v>0</v>
      </c>
      <c r="P79" s="189">
        <f>0</f>
        <v>0</v>
      </c>
      <c r="Q79" s="189">
        <f>0</f>
        <v>0</v>
      </c>
      <c r="R79" s="189">
        <f>0</f>
        <v>0</v>
      </c>
      <c r="S79" s="189">
        <f>0</f>
        <v>0</v>
      </c>
      <c r="T79" s="189">
        <f>0</f>
        <v>0</v>
      </c>
      <c r="U79" s="189">
        <f>0</f>
        <v>0</v>
      </c>
      <c r="V79" s="189">
        <f>0</f>
        <v>0</v>
      </c>
      <c r="W79" s="189">
        <f>0</f>
        <v>0</v>
      </c>
      <c r="X79" s="189">
        <f>0</f>
        <v>0</v>
      </c>
      <c r="Y79" s="189">
        <f>0</f>
        <v>0</v>
      </c>
      <c r="Z79" s="189">
        <f>0</f>
        <v>0</v>
      </c>
      <c r="AA79" s="189">
        <f>0</f>
        <v>0</v>
      </c>
      <c r="AB79" s="189">
        <f>0</f>
        <v>0</v>
      </c>
      <c r="AC79" s="189">
        <f>0</f>
        <v>0</v>
      </c>
      <c r="AD79" s="189">
        <f>0</f>
        <v>0</v>
      </c>
      <c r="AE79" s="189">
        <f>0</f>
        <v>0</v>
      </c>
      <c r="AF79" s="189">
        <f>0</f>
        <v>0</v>
      </c>
      <c r="AG79" s="189">
        <f>0</f>
        <v>0</v>
      </c>
      <c r="AH79" s="189">
        <f>0</f>
        <v>0</v>
      </c>
      <c r="AI79" s="189">
        <f>0</f>
        <v>0</v>
      </c>
      <c r="AJ79" s="189">
        <f>0</f>
        <v>0</v>
      </c>
      <c r="AK79" s="189">
        <f>0</f>
        <v>0</v>
      </c>
      <c r="AL79" s="190">
        <f>0</f>
        <v>0</v>
      </c>
    </row>
    <row r="80" spans="2:39" ht="24" outlineLevel="2">
      <c r="B80" s="285" t="s">
        <v>387</v>
      </c>
      <c r="C80" s="288" t="s">
        <v>388</v>
      </c>
      <c r="D80" s="287" t="s">
        <v>389</v>
      </c>
      <c r="E80" s="185">
        <f>0</f>
        <v>0</v>
      </c>
      <c r="F80" s="186">
        <f>6894736.61</f>
        <v>6894736.6100000003</v>
      </c>
      <c r="G80" s="186">
        <f>1682596</f>
        <v>1682596</v>
      </c>
      <c r="H80" s="187">
        <f>1377404.19</f>
        <v>1377404.19</v>
      </c>
      <c r="I80" s="188">
        <f>1222668.37</f>
        <v>1222668.3700000001</v>
      </c>
      <c r="J80" s="189">
        <f>100000</f>
        <v>100000</v>
      </c>
      <c r="K80" s="189">
        <f>327430</f>
        <v>327430</v>
      </c>
      <c r="L80" s="189">
        <f>900000</f>
        <v>900000</v>
      </c>
      <c r="M80" s="189">
        <f>1725000</f>
        <v>1725000</v>
      </c>
      <c r="N80" s="189">
        <f>2286800</f>
        <v>2286800</v>
      </c>
      <c r="O80" s="189">
        <f>2250000</f>
        <v>2250000</v>
      </c>
      <c r="P80" s="189">
        <f>4874000</f>
        <v>4874000</v>
      </c>
      <c r="Q80" s="189">
        <f>8200000</f>
        <v>8200000</v>
      </c>
      <c r="R80" s="189">
        <f>8850000</f>
        <v>8850000</v>
      </c>
      <c r="S80" s="189">
        <f>0</f>
        <v>0</v>
      </c>
      <c r="T80" s="189">
        <f>0</f>
        <v>0</v>
      </c>
      <c r="U80" s="189">
        <f>0</f>
        <v>0</v>
      </c>
      <c r="V80" s="189">
        <f>0</f>
        <v>0</v>
      </c>
      <c r="W80" s="189">
        <f>0</f>
        <v>0</v>
      </c>
      <c r="X80" s="189">
        <f>0</f>
        <v>0</v>
      </c>
      <c r="Y80" s="189">
        <f>0</f>
        <v>0</v>
      </c>
      <c r="Z80" s="189">
        <f>0</f>
        <v>0</v>
      </c>
      <c r="AA80" s="189">
        <f>0</f>
        <v>0</v>
      </c>
      <c r="AB80" s="189">
        <f>0</f>
        <v>0</v>
      </c>
      <c r="AC80" s="189">
        <f>0</f>
        <v>0</v>
      </c>
      <c r="AD80" s="189">
        <f>0</f>
        <v>0</v>
      </c>
      <c r="AE80" s="189">
        <f>0</f>
        <v>0</v>
      </c>
      <c r="AF80" s="189">
        <f>0</f>
        <v>0</v>
      </c>
      <c r="AG80" s="189">
        <f>0</f>
        <v>0</v>
      </c>
      <c r="AH80" s="189">
        <f>0</f>
        <v>0</v>
      </c>
      <c r="AI80" s="189">
        <f>0</f>
        <v>0</v>
      </c>
      <c r="AJ80" s="189">
        <f>0</f>
        <v>0</v>
      </c>
      <c r="AK80" s="189">
        <f>0</f>
        <v>0</v>
      </c>
      <c r="AL80" s="190">
        <f>0</f>
        <v>0</v>
      </c>
    </row>
    <row r="81" spans="2:39" outlineLevel="3">
      <c r="B81" s="285" t="s">
        <v>390</v>
      </c>
      <c r="C81" s="288" t="s">
        <v>391</v>
      </c>
      <c r="D81" s="294" t="s">
        <v>392</v>
      </c>
      <c r="E81" s="185">
        <f>0</f>
        <v>0</v>
      </c>
      <c r="F81" s="186">
        <f>4448018.24</f>
        <v>4448018.24</v>
      </c>
      <c r="G81" s="186">
        <f>703037</f>
        <v>703037</v>
      </c>
      <c r="H81" s="187">
        <f>678937.66</f>
        <v>678937.66</v>
      </c>
      <c r="I81" s="188">
        <f>546925</f>
        <v>546925</v>
      </c>
      <c r="J81" s="189">
        <f>31000</f>
        <v>31000</v>
      </c>
      <c r="K81" s="189">
        <f>173000</f>
        <v>173000</v>
      </c>
      <c r="L81" s="189">
        <f>451000</f>
        <v>451000</v>
      </c>
      <c r="M81" s="189">
        <f>897500</f>
        <v>897500</v>
      </c>
      <c r="N81" s="189">
        <f>1183800</f>
        <v>1183800</v>
      </c>
      <c r="O81" s="189">
        <f>1420000</f>
        <v>1420000</v>
      </c>
      <c r="P81" s="189">
        <f>2580000</f>
        <v>2580000</v>
      </c>
      <c r="Q81" s="189">
        <f>4030000</f>
        <v>4030000</v>
      </c>
      <c r="R81" s="189">
        <f>4570000</f>
        <v>4570000</v>
      </c>
      <c r="S81" s="189">
        <f>0</f>
        <v>0</v>
      </c>
      <c r="T81" s="189">
        <f>0</f>
        <v>0</v>
      </c>
      <c r="U81" s="189">
        <f>0</f>
        <v>0</v>
      </c>
      <c r="V81" s="189">
        <f>0</f>
        <v>0</v>
      </c>
      <c r="W81" s="189">
        <f>0</f>
        <v>0</v>
      </c>
      <c r="X81" s="189">
        <f>0</f>
        <v>0</v>
      </c>
      <c r="Y81" s="189">
        <f>0</f>
        <v>0</v>
      </c>
      <c r="Z81" s="189">
        <f>0</f>
        <v>0</v>
      </c>
      <c r="AA81" s="189">
        <f>0</f>
        <v>0</v>
      </c>
      <c r="AB81" s="189">
        <f>0</f>
        <v>0</v>
      </c>
      <c r="AC81" s="189">
        <f>0</f>
        <v>0</v>
      </c>
      <c r="AD81" s="189">
        <f>0</f>
        <v>0</v>
      </c>
      <c r="AE81" s="189">
        <f>0</f>
        <v>0</v>
      </c>
      <c r="AF81" s="189">
        <f>0</f>
        <v>0</v>
      </c>
      <c r="AG81" s="189">
        <f>0</f>
        <v>0</v>
      </c>
      <c r="AH81" s="189">
        <f>0</f>
        <v>0</v>
      </c>
      <c r="AI81" s="189">
        <f>0</f>
        <v>0</v>
      </c>
      <c r="AJ81" s="189">
        <f>0</f>
        <v>0</v>
      </c>
      <c r="AK81" s="189">
        <f>0</f>
        <v>0</v>
      </c>
      <c r="AL81" s="190">
        <f>0</f>
        <v>0</v>
      </c>
    </row>
    <row r="82" spans="2:39" ht="36" outlineLevel="3">
      <c r="B82" s="285" t="s">
        <v>393</v>
      </c>
      <c r="C82" s="288" t="s">
        <v>394</v>
      </c>
      <c r="D82" s="289" t="s">
        <v>395</v>
      </c>
      <c r="E82" s="185">
        <f>0</f>
        <v>0</v>
      </c>
      <c r="F82" s="186">
        <f>0</f>
        <v>0</v>
      </c>
      <c r="G82" s="186">
        <f>0</f>
        <v>0</v>
      </c>
      <c r="H82" s="187">
        <f>0</f>
        <v>0</v>
      </c>
      <c r="I82" s="188">
        <f>0</f>
        <v>0</v>
      </c>
      <c r="J82" s="189">
        <f>0</f>
        <v>0</v>
      </c>
      <c r="K82" s="189">
        <f>0</f>
        <v>0</v>
      </c>
      <c r="L82" s="189">
        <f>0</f>
        <v>0</v>
      </c>
      <c r="M82" s="189">
        <f>0</f>
        <v>0</v>
      </c>
      <c r="N82" s="189">
        <f>0</f>
        <v>0</v>
      </c>
      <c r="O82" s="189">
        <f>0</f>
        <v>0</v>
      </c>
      <c r="P82" s="189">
        <f>0</f>
        <v>0</v>
      </c>
      <c r="Q82" s="189">
        <f>0</f>
        <v>0</v>
      </c>
      <c r="R82" s="189">
        <f>0</f>
        <v>0</v>
      </c>
      <c r="S82" s="189">
        <f>0</f>
        <v>0</v>
      </c>
      <c r="T82" s="189">
        <f>0</f>
        <v>0</v>
      </c>
      <c r="U82" s="189">
        <f>0</f>
        <v>0</v>
      </c>
      <c r="V82" s="189">
        <f>0</f>
        <v>0</v>
      </c>
      <c r="W82" s="189">
        <f>0</f>
        <v>0</v>
      </c>
      <c r="X82" s="189">
        <f>0</f>
        <v>0</v>
      </c>
      <c r="Y82" s="189">
        <f>0</f>
        <v>0</v>
      </c>
      <c r="Z82" s="189">
        <f>0</f>
        <v>0</v>
      </c>
      <c r="AA82" s="189">
        <f>0</f>
        <v>0</v>
      </c>
      <c r="AB82" s="189">
        <f>0</f>
        <v>0</v>
      </c>
      <c r="AC82" s="189">
        <f>0</f>
        <v>0</v>
      </c>
      <c r="AD82" s="189">
        <f>0</f>
        <v>0</v>
      </c>
      <c r="AE82" s="189">
        <f>0</f>
        <v>0</v>
      </c>
      <c r="AF82" s="189">
        <f>0</f>
        <v>0</v>
      </c>
      <c r="AG82" s="189">
        <f>0</f>
        <v>0</v>
      </c>
      <c r="AH82" s="189">
        <f>0</f>
        <v>0</v>
      </c>
      <c r="AI82" s="189">
        <f>0</f>
        <v>0</v>
      </c>
      <c r="AJ82" s="189">
        <f>0</f>
        <v>0</v>
      </c>
      <c r="AK82" s="189">
        <f>0</f>
        <v>0</v>
      </c>
      <c r="AL82" s="190">
        <f>0</f>
        <v>0</v>
      </c>
    </row>
    <row r="83" spans="2:39" ht="48" outlineLevel="2">
      <c r="B83" s="285" t="s">
        <v>396</v>
      </c>
      <c r="C83" s="288" t="s">
        <v>397</v>
      </c>
      <c r="D83" s="287" t="s">
        <v>398</v>
      </c>
      <c r="E83" s="185">
        <f>0</f>
        <v>0</v>
      </c>
      <c r="F83" s="186">
        <f>0</f>
        <v>0</v>
      </c>
      <c r="G83" s="186">
        <f>0</f>
        <v>0</v>
      </c>
      <c r="H83" s="187">
        <f>698466.53</f>
        <v>698466.53</v>
      </c>
      <c r="I83" s="188">
        <f>675743.37</f>
        <v>675743.37</v>
      </c>
      <c r="J83" s="189">
        <f>0</f>
        <v>0</v>
      </c>
      <c r="K83" s="189">
        <f>0</f>
        <v>0</v>
      </c>
      <c r="L83" s="189">
        <f>0</f>
        <v>0</v>
      </c>
      <c r="M83" s="189">
        <f>0</f>
        <v>0</v>
      </c>
      <c r="N83" s="189">
        <f>0</f>
        <v>0</v>
      </c>
      <c r="O83" s="189">
        <f>0</f>
        <v>0</v>
      </c>
      <c r="P83" s="189">
        <f>0</f>
        <v>0</v>
      </c>
      <c r="Q83" s="189">
        <f>0</f>
        <v>0</v>
      </c>
      <c r="R83" s="189">
        <f>0</f>
        <v>0</v>
      </c>
      <c r="S83" s="189">
        <f>0</f>
        <v>0</v>
      </c>
      <c r="T83" s="189">
        <f>0</f>
        <v>0</v>
      </c>
      <c r="U83" s="189">
        <f>0</f>
        <v>0</v>
      </c>
      <c r="V83" s="189">
        <f>0</f>
        <v>0</v>
      </c>
      <c r="W83" s="189">
        <f>0</f>
        <v>0</v>
      </c>
      <c r="X83" s="189">
        <f>0</f>
        <v>0</v>
      </c>
      <c r="Y83" s="189">
        <f>0</f>
        <v>0</v>
      </c>
      <c r="Z83" s="189">
        <f>0</f>
        <v>0</v>
      </c>
      <c r="AA83" s="189">
        <f>0</f>
        <v>0</v>
      </c>
      <c r="AB83" s="189">
        <f>0</f>
        <v>0</v>
      </c>
      <c r="AC83" s="189">
        <f>0</f>
        <v>0</v>
      </c>
      <c r="AD83" s="189">
        <f>0</f>
        <v>0</v>
      </c>
      <c r="AE83" s="189">
        <f>0</f>
        <v>0</v>
      </c>
      <c r="AF83" s="189">
        <f>0</f>
        <v>0</v>
      </c>
      <c r="AG83" s="189">
        <f>0</f>
        <v>0</v>
      </c>
      <c r="AH83" s="189">
        <f>0</f>
        <v>0</v>
      </c>
      <c r="AI83" s="189">
        <f>0</f>
        <v>0</v>
      </c>
      <c r="AJ83" s="189">
        <f>0</f>
        <v>0</v>
      </c>
      <c r="AK83" s="189">
        <f>0</f>
        <v>0</v>
      </c>
      <c r="AL83" s="190">
        <f>0</f>
        <v>0</v>
      </c>
    </row>
    <row r="84" spans="2:39" ht="26.25" customHeight="1" outlineLevel="3">
      <c r="B84" s="285" t="s">
        <v>399</v>
      </c>
      <c r="C84" s="288" t="s">
        <v>400</v>
      </c>
      <c r="D84" s="289" t="s">
        <v>401</v>
      </c>
      <c r="E84" s="185">
        <f>0</f>
        <v>0</v>
      </c>
      <c r="F84" s="186">
        <f>0</f>
        <v>0</v>
      </c>
      <c r="G84" s="186">
        <f>0</f>
        <v>0</v>
      </c>
      <c r="H84" s="187">
        <f>0</f>
        <v>0</v>
      </c>
      <c r="I84" s="188">
        <f>0</f>
        <v>0</v>
      </c>
      <c r="J84" s="189">
        <f>0</f>
        <v>0</v>
      </c>
      <c r="K84" s="189">
        <f>0</f>
        <v>0</v>
      </c>
      <c r="L84" s="189">
        <f>0</f>
        <v>0</v>
      </c>
      <c r="M84" s="189">
        <f>0</f>
        <v>0</v>
      </c>
      <c r="N84" s="189">
        <f>0</f>
        <v>0</v>
      </c>
      <c r="O84" s="189">
        <f>0</f>
        <v>0</v>
      </c>
      <c r="P84" s="189">
        <f>0</f>
        <v>0</v>
      </c>
      <c r="Q84" s="189">
        <f>0</f>
        <v>0</v>
      </c>
      <c r="R84" s="189">
        <f>0</f>
        <v>0</v>
      </c>
      <c r="S84" s="189">
        <f>0</f>
        <v>0</v>
      </c>
      <c r="T84" s="189">
        <f>0</f>
        <v>0</v>
      </c>
      <c r="U84" s="189">
        <f>0</f>
        <v>0</v>
      </c>
      <c r="V84" s="189">
        <f>0</f>
        <v>0</v>
      </c>
      <c r="W84" s="189">
        <f>0</f>
        <v>0</v>
      </c>
      <c r="X84" s="189">
        <f>0</f>
        <v>0</v>
      </c>
      <c r="Y84" s="189">
        <f>0</f>
        <v>0</v>
      </c>
      <c r="Z84" s="189">
        <f>0</f>
        <v>0</v>
      </c>
      <c r="AA84" s="189">
        <f>0</f>
        <v>0</v>
      </c>
      <c r="AB84" s="189">
        <f>0</f>
        <v>0</v>
      </c>
      <c r="AC84" s="189">
        <f>0</f>
        <v>0</v>
      </c>
      <c r="AD84" s="189">
        <f>0</f>
        <v>0</v>
      </c>
      <c r="AE84" s="189">
        <f>0</f>
        <v>0</v>
      </c>
      <c r="AF84" s="189">
        <f>0</f>
        <v>0</v>
      </c>
      <c r="AG84" s="189">
        <f>0</f>
        <v>0</v>
      </c>
      <c r="AH84" s="189">
        <f>0</f>
        <v>0</v>
      </c>
      <c r="AI84" s="189">
        <f>0</f>
        <v>0</v>
      </c>
      <c r="AJ84" s="189">
        <f>0</f>
        <v>0</v>
      </c>
      <c r="AK84" s="189">
        <f>0</f>
        <v>0</v>
      </c>
      <c r="AL84" s="190">
        <f>0</f>
        <v>0</v>
      </c>
    </row>
    <row r="85" spans="2:39" ht="36" outlineLevel="2">
      <c r="B85" s="285" t="s">
        <v>402</v>
      </c>
      <c r="C85" s="288" t="s">
        <v>403</v>
      </c>
      <c r="D85" s="287" t="s">
        <v>404</v>
      </c>
      <c r="E85" s="185">
        <f>0</f>
        <v>0</v>
      </c>
      <c r="F85" s="186">
        <f>0</f>
        <v>0</v>
      </c>
      <c r="G85" s="186">
        <f>0</f>
        <v>0</v>
      </c>
      <c r="H85" s="187">
        <f>0</f>
        <v>0</v>
      </c>
      <c r="I85" s="188">
        <f>0</f>
        <v>0</v>
      </c>
      <c r="J85" s="189">
        <f>0</f>
        <v>0</v>
      </c>
      <c r="K85" s="189">
        <f>0</f>
        <v>0</v>
      </c>
      <c r="L85" s="189">
        <f>0</f>
        <v>0</v>
      </c>
      <c r="M85" s="189">
        <f>0</f>
        <v>0</v>
      </c>
      <c r="N85" s="189">
        <f>0</f>
        <v>0</v>
      </c>
      <c r="O85" s="189">
        <f>0</f>
        <v>0</v>
      </c>
      <c r="P85" s="189">
        <f>0</f>
        <v>0</v>
      </c>
      <c r="Q85" s="189">
        <f>0</f>
        <v>0</v>
      </c>
      <c r="R85" s="189">
        <f>0</f>
        <v>0</v>
      </c>
      <c r="S85" s="189">
        <f>0</f>
        <v>0</v>
      </c>
      <c r="T85" s="189">
        <f>0</f>
        <v>0</v>
      </c>
      <c r="U85" s="189">
        <f>0</f>
        <v>0</v>
      </c>
      <c r="V85" s="189">
        <f>0</f>
        <v>0</v>
      </c>
      <c r="W85" s="189">
        <f>0</f>
        <v>0</v>
      </c>
      <c r="X85" s="189">
        <f>0</f>
        <v>0</v>
      </c>
      <c r="Y85" s="189">
        <f>0</f>
        <v>0</v>
      </c>
      <c r="Z85" s="189">
        <f>0</f>
        <v>0</v>
      </c>
      <c r="AA85" s="189">
        <f>0</f>
        <v>0</v>
      </c>
      <c r="AB85" s="189">
        <f>0</f>
        <v>0</v>
      </c>
      <c r="AC85" s="189">
        <f>0</f>
        <v>0</v>
      </c>
      <c r="AD85" s="189">
        <f>0</f>
        <v>0</v>
      </c>
      <c r="AE85" s="189">
        <f>0</f>
        <v>0</v>
      </c>
      <c r="AF85" s="189">
        <f>0</f>
        <v>0</v>
      </c>
      <c r="AG85" s="189">
        <f>0</f>
        <v>0</v>
      </c>
      <c r="AH85" s="189">
        <f>0</f>
        <v>0</v>
      </c>
      <c r="AI85" s="189">
        <f>0</f>
        <v>0</v>
      </c>
      <c r="AJ85" s="189">
        <f>0</f>
        <v>0</v>
      </c>
      <c r="AK85" s="189">
        <f>0</f>
        <v>0</v>
      </c>
      <c r="AL85" s="190">
        <f>0</f>
        <v>0</v>
      </c>
    </row>
    <row r="86" spans="2:39" ht="25.5" customHeight="1" outlineLevel="3">
      <c r="B86" s="285" t="s">
        <v>405</v>
      </c>
      <c r="C86" s="288" t="s">
        <v>400</v>
      </c>
      <c r="D86" s="289" t="s">
        <v>401</v>
      </c>
      <c r="E86" s="185">
        <f>0</f>
        <v>0</v>
      </c>
      <c r="F86" s="186">
        <f>0</f>
        <v>0</v>
      </c>
      <c r="G86" s="186">
        <f>0</f>
        <v>0</v>
      </c>
      <c r="H86" s="187">
        <f>0</f>
        <v>0</v>
      </c>
      <c r="I86" s="188">
        <f>0</f>
        <v>0</v>
      </c>
      <c r="J86" s="189">
        <f>0</f>
        <v>0</v>
      </c>
      <c r="K86" s="189">
        <f>0</f>
        <v>0</v>
      </c>
      <c r="L86" s="189">
        <f>0</f>
        <v>0</v>
      </c>
      <c r="M86" s="189">
        <f>0</f>
        <v>0</v>
      </c>
      <c r="N86" s="189">
        <f>0</f>
        <v>0</v>
      </c>
      <c r="O86" s="189">
        <f>0</f>
        <v>0</v>
      </c>
      <c r="P86" s="189">
        <f>0</f>
        <v>0</v>
      </c>
      <c r="Q86" s="189">
        <f>0</f>
        <v>0</v>
      </c>
      <c r="R86" s="189">
        <f>0</f>
        <v>0</v>
      </c>
      <c r="S86" s="189">
        <f>0</f>
        <v>0</v>
      </c>
      <c r="T86" s="189">
        <f>0</f>
        <v>0</v>
      </c>
      <c r="U86" s="189">
        <f>0</f>
        <v>0</v>
      </c>
      <c r="V86" s="189">
        <f>0</f>
        <v>0</v>
      </c>
      <c r="W86" s="189">
        <f>0</f>
        <v>0</v>
      </c>
      <c r="X86" s="189">
        <f>0</f>
        <v>0</v>
      </c>
      <c r="Y86" s="189">
        <f>0</f>
        <v>0</v>
      </c>
      <c r="Z86" s="189">
        <f>0</f>
        <v>0</v>
      </c>
      <c r="AA86" s="189">
        <f>0</f>
        <v>0</v>
      </c>
      <c r="AB86" s="189">
        <f>0</f>
        <v>0</v>
      </c>
      <c r="AC86" s="189">
        <f>0</f>
        <v>0</v>
      </c>
      <c r="AD86" s="189">
        <f>0</f>
        <v>0</v>
      </c>
      <c r="AE86" s="189">
        <f>0</f>
        <v>0</v>
      </c>
      <c r="AF86" s="189">
        <f>0</f>
        <v>0</v>
      </c>
      <c r="AG86" s="189">
        <f>0</f>
        <v>0</v>
      </c>
      <c r="AH86" s="189">
        <f>0</f>
        <v>0</v>
      </c>
      <c r="AI86" s="189">
        <f>0</f>
        <v>0</v>
      </c>
      <c r="AJ86" s="189">
        <f>0</f>
        <v>0</v>
      </c>
      <c r="AK86" s="189">
        <f>0</f>
        <v>0</v>
      </c>
      <c r="AL86" s="190">
        <f>0</f>
        <v>0</v>
      </c>
    </row>
    <row r="87" spans="2:39" ht="48" outlineLevel="2">
      <c r="B87" s="285" t="s">
        <v>406</v>
      </c>
      <c r="C87" s="288" t="s">
        <v>407</v>
      </c>
      <c r="D87" s="287" t="s">
        <v>408</v>
      </c>
      <c r="E87" s="185">
        <f>0</f>
        <v>0</v>
      </c>
      <c r="F87" s="186">
        <f>0</f>
        <v>0</v>
      </c>
      <c r="G87" s="186">
        <f>0</f>
        <v>0</v>
      </c>
      <c r="H87" s="187">
        <f>2</f>
        <v>2</v>
      </c>
      <c r="I87" s="188">
        <f>0</f>
        <v>0</v>
      </c>
      <c r="J87" s="189">
        <f>0</f>
        <v>0</v>
      </c>
      <c r="K87" s="189">
        <f>0</f>
        <v>0</v>
      </c>
      <c r="L87" s="189">
        <f>0</f>
        <v>0</v>
      </c>
      <c r="M87" s="189">
        <f>0</f>
        <v>0</v>
      </c>
      <c r="N87" s="189">
        <f>0</f>
        <v>0</v>
      </c>
      <c r="O87" s="189">
        <f>0</f>
        <v>0</v>
      </c>
      <c r="P87" s="189">
        <f>0</f>
        <v>0</v>
      </c>
      <c r="Q87" s="189">
        <f>0</f>
        <v>0</v>
      </c>
      <c r="R87" s="189">
        <f>0</f>
        <v>0</v>
      </c>
      <c r="S87" s="189">
        <f>0</f>
        <v>0</v>
      </c>
      <c r="T87" s="189">
        <f>0</f>
        <v>0</v>
      </c>
      <c r="U87" s="189">
        <f>0</f>
        <v>0</v>
      </c>
      <c r="V87" s="189">
        <f>0</f>
        <v>0</v>
      </c>
      <c r="W87" s="189">
        <f>0</f>
        <v>0</v>
      </c>
      <c r="X87" s="189">
        <f>0</f>
        <v>0</v>
      </c>
      <c r="Y87" s="189">
        <f>0</f>
        <v>0</v>
      </c>
      <c r="Z87" s="189">
        <f>0</f>
        <v>0</v>
      </c>
      <c r="AA87" s="189">
        <f>0</f>
        <v>0</v>
      </c>
      <c r="AB87" s="189">
        <f>0</f>
        <v>0</v>
      </c>
      <c r="AC87" s="189">
        <f>0</f>
        <v>0</v>
      </c>
      <c r="AD87" s="189">
        <f>0</f>
        <v>0</v>
      </c>
      <c r="AE87" s="189">
        <f>0</f>
        <v>0</v>
      </c>
      <c r="AF87" s="189">
        <f>0</f>
        <v>0</v>
      </c>
      <c r="AG87" s="189">
        <f>0</f>
        <v>0</v>
      </c>
      <c r="AH87" s="189">
        <f>0</f>
        <v>0</v>
      </c>
      <c r="AI87" s="189">
        <f>0</f>
        <v>0</v>
      </c>
      <c r="AJ87" s="189">
        <f>0</f>
        <v>0</v>
      </c>
      <c r="AK87" s="189">
        <f>0</f>
        <v>0</v>
      </c>
      <c r="AL87" s="190">
        <f>0</f>
        <v>0</v>
      </c>
    </row>
    <row r="88" spans="2:39" ht="24" outlineLevel="3">
      <c r="B88" s="285" t="s">
        <v>409</v>
      </c>
      <c r="C88" s="288" t="s">
        <v>400</v>
      </c>
      <c r="D88" s="289" t="s">
        <v>401</v>
      </c>
      <c r="E88" s="185">
        <f>0</f>
        <v>0</v>
      </c>
      <c r="F88" s="186">
        <f>0</f>
        <v>0</v>
      </c>
      <c r="G88" s="186">
        <f>0</f>
        <v>0</v>
      </c>
      <c r="H88" s="187">
        <f>0</f>
        <v>0</v>
      </c>
      <c r="I88" s="188">
        <f>0</f>
        <v>0</v>
      </c>
      <c r="J88" s="189">
        <f>0</f>
        <v>0</v>
      </c>
      <c r="K88" s="189">
        <f>0</f>
        <v>0</v>
      </c>
      <c r="L88" s="189">
        <f>0</f>
        <v>0</v>
      </c>
      <c r="M88" s="189">
        <f>0</f>
        <v>0</v>
      </c>
      <c r="N88" s="189">
        <f>0</f>
        <v>0</v>
      </c>
      <c r="O88" s="189">
        <f>0</f>
        <v>0</v>
      </c>
      <c r="P88" s="189">
        <f>0</f>
        <v>0</v>
      </c>
      <c r="Q88" s="189">
        <f>0</f>
        <v>0</v>
      </c>
      <c r="R88" s="189">
        <f>0</f>
        <v>0</v>
      </c>
      <c r="S88" s="189">
        <f>0</f>
        <v>0</v>
      </c>
      <c r="T88" s="189">
        <f>0</f>
        <v>0</v>
      </c>
      <c r="U88" s="189">
        <f>0</f>
        <v>0</v>
      </c>
      <c r="V88" s="189">
        <f>0</f>
        <v>0</v>
      </c>
      <c r="W88" s="189">
        <f>0</f>
        <v>0</v>
      </c>
      <c r="X88" s="189">
        <f>0</f>
        <v>0</v>
      </c>
      <c r="Y88" s="189">
        <f>0</f>
        <v>0</v>
      </c>
      <c r="Z88" s="189">
        <f>0</f>
        <v>0</v>
      </c>
      <c r="AA88" s="189">
        <f>0</f>
        <v>0</v>
      </c>
      <c r="AB88" s="189">
        <f>0</f>
        <v>0</v>
      </c>
      <c r="AC88" s="189">
        <f>0</f>
        <v>0</v>
      </c>
      <c r="AD88" s="189">
        <f>0</f>
        <v>0</v>
      </c>
      <c r="AE88" s="189">
        <f>0</f>
        <v>0</v>
      </c>
      <c r="AF88" s="189">
        <f>0</f>
        <v>0</v>
      </c>
      <c r="AG88" s="189">
        <f>0</f>
        <v>0</v>
      </c>
      <c r="AH88" s="189">
        <f>0</f>
        <v>0</v>
      </c>
      <c r="AI88" s="189">
        <f>0</f>
        <v>0</v>
      </c>
      <c r="AJ88" s="189">
        <f>0</f>
        <v>0</v>
      </c>
      <c r="AK88" s="189">
        <f>0</f>
        <v>0</v>
      </c>
      <c r="AL88" s="190">
        <f>0</f>
        <v>0</v>
      </c>
    </row>
    <row r="89" spans="2:39" ht="58.5" customHeight="1" outlineLevel="2">
      <c r="B89" s="285" t="s">
        <v>410</v>
      </c>
      <c r="C89" s="288" t="s">
        <v>411</v>
      </c>
      <c r="D89" s="287" t="s">
        <v>412</v>
      </c>
      <c r="E89" s="185">
        <f>0</f>
        <v>0</v>
      </c>
      <c r="F89" s="186">
        <f>0</f>
        <v>0</v>
      </c>
      <c r="G89" s="186">
        <f>0</f>
        <v>0</v>
      </c>
      <c r="H89" s="187">
        <f>0</f>
        <v>0</v>
      </c>
      <c r="I89" s="188">
        <f>0</f>
        <v>0</v>
      </c>
      <c r="J89" s="189">
        <f>0</f>
        <v>0</v>
      </c>
      <c r="K89" s="189">
        <f>0</f>
        <v>0</v>
      </c>
      <c r="L89" s="189">
        <f>0</f>
        <v>0</v>
      </c>
      <c r="M89" s="189">
        <f>0</f>
        <v>0</v>
      </c>
      <c r="N89" s="189">
        <f>0</f>
        <v>0</v>
      </c>
      <c r="O89" s="189">
        <f>0</f>
        <v>0</v>
      </c>
      <c r="P89" s="189">
        <f>0</f>
        <v>0</v>
      </c>
      <c r="Q89" s="189">
        <f>0</f>
        <v>0</v>
      </c>
      <c r="R89" s="189">
        <f>0</f>
        <v>0</v>
      </c>
      <c r="S89" s="189">
        <f>0</f>
        <v>0</v>
      </c>
      <c r="T89" s="189">
        <f>0</f>
        <v>0</v>
      </c>
      <c r="U89" s="189">
        <f>0</f>
        <v>0</v>
      </c>
      <c r="V89" s="189">
        <f>0</f>
        <v>0</v>
      </c>
      <c r="W89" s="189">
        <f>0</f>
        <v>0</v>
      </c>
      <c r="X89" s="189">
        <f>0</f>
        <v>0</v>
      </c>
      <c r="Y89" s="189">
        <f>0</f>
        <v>0</v>
      </c>
      <c r="Z89" s="189">
        <f>0</f>
        <v>0</v>
      </c>
      <c r="AA89" s="189">
        <f>0</f>
        <v>0</v>
      </c>
      <c r="AB89" s="189">
        <f>0</f>
        <v>0</v>
      </c>
      <c r="AC89" s="189">
        <f>0</f>
        <v>0</v>
      </c>
      <c r="AD89" s="189">
        <f>0</f>
        <v>0</v>
      </c>
      <c r="AE89" s="189">
        <f>0</f>
        <v>0</v>
      </c>
      <c r="AF89" s="189">
        <f>0</f>
        <v>0</v>
      </c>
      <c r="AG89" s="189">
        <f>0</f>
        <v>0</v>
      </c>
      <c r="AH89" s="189">
        <f>0</f>
        <v>0</v>
      </c>
      <c r="AI89" s="189">
        <f>0</f>
        <v>0</v>
      </c>
      <c r="AJ89" s="189">
        <f>0</f>
        <v>0</v>
      </c>
      <c r="AK89" s="189">
        <f>0</f>
        <v>0</v>
      </c>
      <c r="AL89" s="190">
        <f>0</f>
        <v>0</v>
      </c>
    </row>
    <row r="90" spans="2:39" ht="24" outlineLevel="3">
      <c r="B90" s="285" t="s">
        <v>413</v>
      </c>
      <c r="C90" s="288" t="s">
        <v>400</v>
      </c>
      <c r="D90" s="289" t="s">
        <v>401</v>
      </c>
      <c r="E90" s="185">
        <f>0</f>
        <v>0</v>
      </c>
      <c r="F90" s="186">
        <f>0</f>
        <v>0</v>
      </c>
      <c r="G90" s="186">
        <f>0</f>
        <v>0</v>
      </c>
      <c r="H90" s="187">
        <f>0</f>
        <v>0</v>
      </c>
      <c r="I90" s="188">
        <f>0</f>
        <v>0</v>
      </c>
      <c r="J90" s="189">
        <f>0</f>
        <v>0</v>
      </c>
      <c r="K90" s="189">
        <f>0</f>
        <v>0</v>
      </c>
      <c r="L90" s="189">
        <f>0</f>
        <v>0</v>
      </c>
      <c r="M90" s="189">
        <f>0</f>
        <v>0</v>
      </c>
      <c r="N90" s="189">
        <f>0</f>
        <v>0</v>
      </c>
      <c r="O90" s="189">
        <f>0</f>
        <v>0</v>
      </c>
      <c r="P90" s="189">
        <f>0</f>
        <v>0</v>
      </c>
      <c r="Q90" s="189">
        <f>0</f>
        <v>0</v>
      </c>
      <c r="R90" s="189">
        <f>0</f>
        <v>0</v>
      </c>
      <c r="S90" s="189">
        <f>0</f>
        <v>0</v>
      </c>
      <c r="T90" s="189">
        <f>0</f>
        <v>0</v>
      </c>
      <c r="U90" s="189">
        <f>0</f>
        <v>0</v>
      </c>
      <c r="V90" s="189">
        <f>0</f>
        <v>0</v>
      </c>
      <c r="W90" s="189">
        <f>0</f>
        <v>0</v>
      </c>
      <c r="X90" s="189">
        <f>0</f>
        <v>0</v>
      </c>
      <c r="Y90" s="189">
        <f>0</f>
        <v>0</v>
      </c>
      <c r="Z90" s="189">
        <f>0</f>
        <v>0</v>
      </c>
      <c r="AA90" s="189">
        <f>0</f>
        <v>0</v>
      </c>
      <c r="AB90" s="189">
        <f>0</f>
        <v>0</v>
      </c>
      <c r="AC90" s="189">
        <f>0</f>
        <v>0</v>
      </c>
      <c r="AD90" s="189">
        <f>0</f>
        <v>0</v>
      </c>
      <c r="AE90" s="189">
        <f>0</f>
        <v>0</v>
      </c>
      <c r="AF90" s="189">
        <f>0</f>
        <v>0</v>
      </c>
      <c r="AG90" s="189">
        <f>0</f>
        <v>0</v>
      </c>
      <c r="AH90" s="189">
        <f>0</f>
        <v>0</v>
      </c>
      <c r="AI90" s="189">
        <f>0</f>
        <v>0</v>
      </c>
      <c r="AJ90" s="189">
        <f>0</f>
        <v>0</v>
      </c>
      <c r="AK90" s="189">
        <f>0</f>
        <v>0</v>
      </c>
      <c r="AL90" s="190">
        <f>0</f>
        <v>0</v>
      </c>
    </row>
    <row r="91" spans="2:39" ht="36" outlineLevel="1" collapsed="1">
      <c r="B91" s="281">
        <v>13</v>
      </c>
      <c r="C91" s="282" t="s">
        <v>414</v>
      </c>
      <c r="D91" s="296" t="s">
        <v>414</v>
      </c>
      <c r="E91" s="191" t="s">
        <v>202</v>
      </c>
      <c r="F91" s="192" t="s">
        <v>202</v>
      </c>
      <c r="G91" s="192" t="s">
        <v>202</v>
      </c>
      <c r="H91" s="193" t="s">
        <v>202</v>
      </c>
      <c r="I91" s="194" t="s">
        <v>202</v>
      </c>
      <c r="J91" s="195" t="s">
        <v>202</v>
      </c>
      <c r="K91" s="195" t="s">
        <v>202</v>
      </c>
      <c r="L91" s="195" t="s">
        <v>202</v>
      </c>
      <c r="M91" s="195" t="s">
        <v>202</v>
      </c>
      <c r="N91" s="195" t="s">
        <v>202</v>
      </c>
      <c r="O91" s="195" t="s">
        <v>202</v>
      </c>
      <c r="P91" s="195" t="s">
        <v>202</v>
      </c>
      <c r="Q91" s="195" t="s">
        <v>202</v>
      </c>
      <c r="R91" s="195" t="s">
        <v>202</v>
      </c>
      <c r="S91" s="195" t="s">
        <v>202</v>
      </c>
      <c r="T91" s="195" t="s">
        <v>202</v>
      </c>
      <c r="U91" s="195" t="s">
        <v>202</v>
      </c>
      <c r="V91" s="195" t="s">
        <v>202</v>
      </c>
      <c r="W91" s="195" t="s">
        <v>202</v>
      </c>
      <c r="X91" s="195" t="s">
        <v>202</v>
      </c>
      <c r="Y91" s="195" t="s">
        <v>202</v>
      </c>
      <c r="Z91" s="195" t="s">
        <v>202</v>
      </c>
      <c r="AA91" s="195" t="s">
        <v>202</v>
      </c>
      <c r="AB91" s="195" t="s">
        <v>202</v>
      </c>
      <c r="AC91" s="195" t="s">
        <v>202</v>
      </c>
      <c r="AD91" s="195" t="s">
        <v>202</v>
      </c>
      <c r="AE91" s="195" t="s">
        <v>202</v>
      </c>
      <c r="AF91" s="195" t="s">
        <v>202</v>
      </c>
      <c r="AG91" s="195" t="s">
        <v>202</v>
      </c>
      <c r="AH91" s="195" t="s">
        <v>202</v>
      </c>
      <c r="AI91" s="195" t="s">
        <v>202</v>
      </c>
      <c r="AJ91" s="195" t="s">
        <v>202</v>
      </c>
      <c r="AK91" s="195" t="s">
        <v>202</v>
      </c>
      <c r="AL91" s="196" t="s">
        <v>202</v>
      </c>
      <c r="AM91" s="284"/>
    </row>
    <row r="92" spans="2:39" ht="36" hidden="1" outlineLevel="2">
      <c r="B92" s="285" t="s">
        <v>415</v>
      </c>
      <c r="C92" s="288" t="s">
        <v>416</v>
      </c>
      <c r="D92" s="287" t="s">
        <v>417</v>
      </c>
      <c r="E92" s="185">
        <f>0</f>
        <v>0</v>
      </c>
      <c r="F92" s="186">
        <f>0</f>
        <v>0</v>
      </c>
      <c r="G92" s="186">
        <f>0</f>
        <v>0</v>
      </c>
      <c r="H92" s="187">
        <f>0</f>
        <v>0</v>
      </c>
      <c r="I92" s="188">
        <f>0</f>
        <v>0</v>
      </c>
      <c r="J92" s="189">
        <f>0</f>
        <v>0</v>
      </c>
      <c r="K92" s="189">
        <f>0</f>
        <v>0</v>
      </c>
      <c r="L92" s="189">
        <f>0</f>
        <v>0</v>
      </c>
      <c r="M92" s="189">
        <f>0</f>
        <v>0</v>
      </c>
      <c r="N92" s="189">
        <f>0</f>
        <v>0</v>
      </c>
      <c r="O92" s="189">
        <f>0</f>
        <v>0</v>
      </c>
      <c r="P92" s="189">
        <f>0</f>
        <v>0</v>
      </c>
      <c r="Q92" s="189">
        <f>0</f>
        <v>0</v>
      </c>
      <c r="R92" s="189">
        <f>0</f>
        <v>0</v>
      </c>
      <c r="S92" s="189">
        <f>0</f>
        <v>0</v>
      </c>
      <c r="T92" s="189">
        <f>0</f>
        <v>0</v>
      </c>
      <c r="U92" s="189">
        <f>0</f>
        <v>0</v>
      </c>
      <c r="V92" s="189">
        <f>0</f>
        <v>0</v>
      </c>
      <c r="W92" s="189">
        <f>0</f>
        <v>0</v>
      </c>
      <c r="X92" s="189">
        <f>0</f>
        <v>0</v>
      </c>
      <c r="Y92" s="189">
        <f>0</f>
        <v>0</v>
      </c>
      <c r="Z92" s="189">
        <f>0</f>
        <v>0</v>
      </c>
      <c r="AA92" s="189">
        <f>0</f>
        <v>0</v>
      </c>
      <c r="AB92" s="189">
        <f>0</f>
        <v>0</v>
      </c>
      <c r="AC92" s="189">
        <f>0</f>
        <v>0</v>
      </c>
      <c r="AD92" s="189">
        <f>0</f>
        <v>0</v>
      </c>
      <c r="AE92" s="189">
        <f>0</f>
        <v>0</v>
      </c>
      <c r="AF92" s="189">
        <f>0</f>
        <v>0</v>
      </c>
      <c r="AG92" s="189">
        <f>0</f>
        <v>0</v>
      </c>
      <c r="AH92" s="189">
        <f>0</f>
        <v>0</v>
      </c>
      <c r="AI92" s="189">
        <f>0</f>
        <v>0</v>
      </c>
      <c r="AJ92" s="189">
        <f>0</f>
        <v>0</v>
      </c>
      <c r="AK92" s="189">
        <f>0</f>
        <v>0</v>
      </c>
      <c r="AL92" s="190">
        <f>0</f>
        <v>0</v>
      </c>
    </row>
    <row r="93" spans="2:39" ht="36" hidden="1" outlineLevel="2">
      <c r="B93" s="285" t="s">
        <v>418</v>
      </c>
      <c r="C93" s="288" t="s">
        <v>419</v>
      </c>
      <c r="D93" s="287" t="s">
        <v>420</v>
      </c>
      <c r="E93" s="185">
        <f>0</f>
        <v>0</v>
      </c>
      <c r="F93" s="186">
        <f>0</f>
        <v>0</v>
      </c>
      <c r="G93" s="186">
        <f>0</f>
        <v>0</v>
      </c>
      <c r="H93" s="187">
        <f>0</f>
        <v>0</v>
      </c>
      <c r="I93" s="188">
        <f>0</f>
        <v>0</v>
      </c>
      <c r="J93" s="189">
        <f>0</f>
        <v>0</v>
      </c>
      <c r="K93" s="189">
        <f>0</f>
        <v>0</v>
      </c>
      <c r="L93" s="189">
        <f>0</f>
        <v>0</v>
      </c>
      <c r="M93" s="189">
        <f>0</f>
        <v>0</v>
      </c>
      <c r="N93" s="189">
        <f>0</f>
        <v>0</v>
      </c>
      <c r="O93" s="189">
        <f>0</f>
        <v>0</v>
      </c>
      <c r="P93" s="189">
        <f>0</f>
        <v>0</v>
      </c>
      <c r="Q93" s="189">
        <f>0</f>
        <v>0</v>
      </c>
      <c r="R93" s="189">
        <f>0</f>
        <v>0</v>
      </c>
      <c r="S93" s="189">
        <f>0</f>
        <v>0</v>
      </c>
      <c r="T93" s="189">
        <f>0</f>
        <v>0</v>
      </c>
      <c r="U93" s="189">
        <f>0</f>
        <v>0</v>
      </c>
      <c r="V93" s="189">
        <f>0</f>
        <v>0</v>
      </c>
      <c r="W93" s="189">
        <f>0</f>
        <v>0</v>
      </c>
      <c r="X93" s="189">
        <f>0</f>
        <v>0</v>
      </c>
      <c r="Y93" s="189">
        <f>0</f>
        <v>0</v>
      </c>
      <c r="Z93" s="189">
        <f>0</f>
        <v>0</v>
      </c>
      <c r="AA93" s="189">
        <f>0</f>
        <v>0</v>
      </c>
      <c r="AB93" s="189">
        <f>0</f>
        <v>0</v>
      </c>
      <c r="AC93" s="189">
        <f>0</f>
        <v>0</v>
      </c>
      <c r="AD93" s="189">
        <f>0</f>
        <v>0</v>
      </c>
      <c r="AE93" s="189">
        <f>0</f>
        <v>0</v>
      </c>
      <c r="AF93" s="189">
        <f>0</f>
        <v>0</v>
      </c>
      <c r="AG93" s="189">
        <f>0</f>
        <v>0</v>
      </c>
      <c r="AH93" s="189">
        <f>0</f>
        <v>0</v>
      </c>
      <c r="AI93" s="189">
        <f>0</f>
        <v>0</v>
      </c>
      <c r="AJ93" s="189">
        <f>0</f>
        <v>0</v>
      </c>
      <c r="AK93" s="189">
        <f>0</f>
        <v>0</v>
      </c>
      <c r="AL93" s="190">
        <f>0</f>
        <v>0</v>
      </c>
    </row>
    <row r="94" spans="2:39" ht="24" hidden="1" outlineLevel="2">
      <c r="B94" s="285" t="s">
        <v>421</v>
      </c>
      <c r="C94" s="288" t="s">
        <v>422</v>
      </c>
      <c r="D94" s="287" t="s">
        <v>423</v>
      </c>
      <c r="E94" s="185">
        <f>0</f>
        <v>0</v>
      </c>
      <c r="F94" s="186">
        <f>0</f>
        <v>0</v>
      </c>
      <c r="G94" s="186">
        <f>0</f>
        <v>0</v>
      </c>
      <c r="H94" s="187">
        <f>0</f>
        <v>0</v>
      </c>
      <c r="I94" s="188">
        <f>0</f>
        <v>0</v>
      </c>
      <c r="J94" s="189">
        <f>0</f>
        <v>0</v>
      </c>
      <c r="K94" s="189">
        <f>0</f>
        <v>0</v>
      </c>
      <c r="L94" s="189">
        <f>0</f>
        <v>0</v>
      </c>
      <c r="M94" s="189">
        <f>0</f>
        <v>0</v>
      </c>
      <c r="N94" s="189">
        <f>0</f>
        <v>0</v>
      </c>
      <c r="O94" s="189">
        <f>0</f>
        <v>0</v>
      </c>
      <c r="P94" s="189">
        <f>0</f>
        <v>0</v>
      </c>
      <c r="Q94" s="189">
        <f>0</f>
        <v>0</v>
      </c>
      <c r="R94" s="189">
        <f>0</f>
        <v>0</v>
      </c>
      <c r="S94" s="189">
        <f>0</f>
        <v>0</v>
      </c>
      <c r="T94" s="189">
        <f>0</f>
        <v>0</v>
      </c>
      <c r="U94" s="189">
        <f>0</f>
        <v>0</v>
      </c>
      <c r="V94" s="189">
        <f>0</f>
        <v>0</v>
      </c>
      <c r="W94" s="189">
        <f>0</f>
        <v>0</v>
      </c>
      <c r="X94" s="189">
        <f>0</f>
        <v>0</v>
      </c>
      <c r="Y94" s="189">
        <f>0</f>
        <v>0</v>
      </c>
      <c r="Z94" s="189">
        <f>0</f>
        <v>0</v>
      </c>
      <c r="AA94" s="189">
        <f>0</f>
        <v>0</v>
      </c>
      <c r="AB94" s="189">
        <f>0</f>
        <v>0</v>
      </c>
      <c r="AC94" s="189">
        <f>0</f>
        <v>0</v>
      </c>
      <c r="AD94" s="189">
        <f>0</f>
        <v>0</v>
      </c>
      <c r="AE94" s="189">
        <f>0</f>
        <v>0</v>
      </c>
      <c r="AF94" s="189">
        <f>0</f>
        <v>0</v>
      </c>
      <c r="AG94" s="189">
        <f>0</f>
        <v>0</v>
      </c>
      <c r="AH94" s="189">
        <f>0</f>
        <v>0</v>
      </c>
      <c r="AI94" s="189">
        <f>0</f>
        <v>0</v>
      </c>
      <c r="AJ94" s="189">
        <f>0</f>
        <v>0</v>
      </c>
      <c r="AK94" s="189">
        <f>0</f>
        <v>0</v>
      </c>
      <c r="AL94" s="190">
        <f>0</f>
        <v>0</v>
      </c>
    </row>
    <row r="95" spans="2:39" ht="36" hidden="1" outlineLevel="2">
      <c r="B95" s="285" t="s">
        <v>424</v>
      </c>
      <c r="C95" s="288" t="s">
        <v>425</v>
      </c>
      <c r="D95" s="287" t="s">
        <v>426</v>
      </c>
      <c r="E95" s="185">
        <f>0</f>
        <v>0</v>
      </c>
      <c r="F95" s="186">
        <f>0</f>
        <v>0</v>
      </c>
      <c r="G95" s="186">
        <f>0</f>
        <v>0</v>
      </c>
      <c r="H95" s="187">
        <f>0</f>
        <v>0</v>
      </c>
      <c r="I95" s="188">
        <f>0</f>
        <v>0</v>
      </c>
      <c r="J95" s="189">
        <f>0</f>
        <v>0</v>
      </c>
      <c r="K95" s="189">
        <f>0</f>
        <v>0</v>
      </c>
      <c r="L95" s="189">
        <f>0</f>
        <v>0</v>
      </c>
      <c r="M95" s="189">
        <f>0</f>
        <v>0</v>
      </c>
      <c r="N95" s="189">
        <f>0</f>
        <v>0</v>
      </c>
      <c r="O95" s="189">
        <f>0</f>
        <v>0</v>
      </c>
      <c r="P95" s="189">
        <f>0</f>
        <v>0</v>
      </c>
      <c r="Q95" s="189">
        <f>0</f>
        <v>0</v>
      </c>
      <c r="R95" s="189">
        <f>0</f>
        <v>0</v>
      </c>
      <c r="S95" s="189">
        <f>0</f>
        <v>0</v>
      </c>
      <c r="T95" s="189">
        <f>0</f>
        <v>0</v>
      </c>
      <c r="U95" s="189">
        <f>0</f>
        <v>0</v>
      </c>
      <c r="V95" s="189">
        <f>0</f>
        <v>0</v>
      </c>
      <c r="W95" s="189">
        <f>0</f>
        <v>0</v>
      </c>
      <c r="X95" s="189">
        <f>0</f>
        <v>0</v>
      </c>
      <c r="Y95" s="189">
        <f>0</f>
        <v>0</v>
      </c>
      <c r="Z95" s="189">
        <f>0</f>
        <v>0</v>
      </c>
      <c r="AA95" s="189">
        <f>0</f>
        <v>0</v>
      </c>
      <c r="AB95" s="189">
        <f>0</f>
        <v>0</v>
      </c>
      <c r="AC95" s="189">
        <f>0</f>
        <v>0</v>
      </c>
      <c r="AD95" s="189">
        <f>0</f>
        <v>0</v>
      </c>
      <c r="AE95" s="189">
        <f>0</f>
        <v>0</v>
      </c>
      <c r="AF95" s="189">
        <f>0</f>
        <v>0</v>
      </c>
      <c r="AG95" s="189">
        <f>0</f>
        <v>0</v>
      </c>
      <c r="AH95" s="189">
        <f>0</f>
        <v>0</v>
      </c>
      <c r="AI95" s="189">
        <f>0</f>
        <v>0</v>
      </c>
      <c r="AJ95" s="189">
        <f>0</f>
        <v>0</v>
      </c>
      <c r="AK95" s="189">
        <f>0</f>
        <v>0</v>
      </c>
      <c r="AL95" s="190">
        <f>0</f>
        <v>0</v>
      </c>
    </row>
    <row r="96" spans="2:39" ht="36" hidden="1" outlineLevel="2">
      <c r="B96" s="285" t="s">
        <v>427</v>
      </c>
      <c r="C96" s="288" t="s">
        <v>428</v>
      </c>
      <c r="D96" s="287" t="s">
        <v>429</v>
      </c>
      <c r="E96" s="185">
        <f>0</f>
        <v>0</v>
      </c>
      <c r="F96" s="186">
        <f>0</f>
        <v>0</v>
      </c>
      <c r="G96" s="186">
        <f>0</f>
        <v>0</v>
      </c>
      <c r="H96" s="187">
        <f>0</f>
        <v>0</v>
      </c>
      <c r="I96" s="188">
        <f>0</f>
        <v>0</v>
      </c>
      <c r="J96" s="189">
        <f>0</f>
        <v>0</v>
      </c>
      <c r="K96" s="189">
        <f>0</f>
        <v>0</v>
      </c>
      <c r="L96" s="189">
        <f>0</f>
        <v>0</v>
      </c>
      <c r="M96" s="189">
        <f>0</f>
        <v>0</v>
      </c>
      <c r="N96" s="189">
        <f>0</f>
        <v>0</v>
      </c>
      <c r="O96" s="189">
        <f>0</f>
        <v>0</v>
      </c>
      <c r="P96" s="189">
        <f>0</f>
        <v>0</v>
      </c>
      <c r="Q96" s="189">
        <f>0</f>
        <v>0</v>
      </c>
      <c r="R96" s="189">
        <f>0</f>
        <v>0</v>
      </c>
      <c r="S96" s="189">
        <f>0</f>
        <v>0</v>
      </c>
      <c r="T96" s="189">
        <f>0</f>
        <v>0</v>
      </c>
      <c r="U96" s="189">
        <f>0</f>
        <v>0</v>
      </c>
      <c r="V96" s="189">
        <f>0</f>
        <v>0</v>
      </c>
      <c r="W96" s="189">
        <f>0</f>
        <v>0</v>
      </c>
      <c r="X96" s="189">
        <f>0</f>
        <v>0</v>
      </c>
      <c r="Y96" s="189">
        <f>0</f>
        <v>0</v>
      </c>
      <c r="Z96" s="189">
        <f>0</f>
        <v>0</v>
      </c>
      <c r="AA96" s="189">
        <f>0</f>
        <v>0</v>
      </c>
      <c r="AB96" s="189">
        <f>0</f>
        <v>0</v>
      </c>
      <c r="AC96" s="189">
        <f>0</f>
        <v>0</v>
      </c>
      <c r="AD96" s="189">
        <f>0</f>
        <v>0</v>
      </c>
      <c r="AE96" s="189">
        <f>0</f>
        <v>0</v>
      </c>
      <c r="AF96" s="189">
        <f>0</f>
        <v>0</v>
      </c>
      <c r="AG96" s="189">
        <f>0</f>
        <v>0</v>
      </c>
      <c r="AH96" s="189">
        <f>0</f>
        <v>0</v>
      </c>
      <c r="AI96" s="189">
        <f>0</f>
        <v>0</v>
      </c>
      <c r="AJ96" s="189">
        <f>0</f>
        <v>0</v>
      </c>
      <c r="AK96" s="189">
        <f>0</f>
        <v>0</v>
      </c>
      <c r="AL96" s="190">
        <f>0</f>
        <v>0</v>
      </c>
    </row>
    <row r="97" spans="1:39" ht="36" hidden="1" outlineLevel="2">
      <c r="B97" s="285" t="s">
        <v>430</v>
      </c>
      <c r="C97" s="288" t="s">
        <v>431</v>
      </c>
      <c r="D97" s="287" t="s">
        <v>432</v>
      </c>
      <c r="E97" s="185">
        <f>0</f>
        <v>0</v>
      </c>
      <c r="F97" s="186">
        <f>0</f>
        <v>0</v>
      </c>
      <c r="G97" s="186">
        <f>0</f>
        <v>0</v>
      </c>
      <c r="H97" s="187">
        <f>0</f>
        <v>0</v>
      </c>
      <c r="I97" s="188">
        <f>0</f>
        <v>0</v>
      </c>
      <c r="J97" s="189">
        <f>0</f>
        <v>0</v>
      </c>
      <c r="K97" s="189">
        <f>0</f>
        <v>0</v>
      </c>
      <c r="L97" s="189">
        <f>0</f>
        <v>0</v>
      </c>
      <c r="M97" s="189">
        <f>0</f>
        <v>0</v>
      </c>
      <c r="N97" s="189">
        <f>0</f>
        <v>0</v>
      </c>
      <c r="O97" s="189">
        <f>0</f>
        <v>0</v>
      </c>
      <c r="P97" s="189">
        <f>0</f>
        <v>0</v>
      </c>
      <c r="Q97" s="189">
        <f>0</f>
        <v>0</v>
      </c>
      <c r="R97" s="189">
        <f>0</f>
        <v>0</v>
      </c>
      <c r="S97" s="189">
        <f>0</f>
        <v>0</v>
      </c>
      <c r="T97" s="189">
        <f>0</f>
        <v>0</v>
      </c>
      <c r="U97" s="189">
        <f>0</f>
        <v>0</v>
      </c>
      <c r="V97" s="189">
        <f>0</f>
        <v>0</v>
      </c>
      <c r="W97" s="189">
        <f>0</f>
        <v>0</v>
      </c>
      <c r="X97" s="189">
        <f>0</f>
        <v>0</v>
      </c>
      <c r="Y97" s="189">
        <f>0</f>
        <v>0</v>
      </c>
      <c r="Z97" s="189">
        <f>0</f>
        <v>0</v>
      </c>
      <c r="AA97" s="189">
        <f>0</f>
        <v>0</v>
      </c>
      <c r="AB97" s="189">
        <f>0</f>
        <v>0</v>
      </c>
      <c r="AC97" s="189">
        <f>0</f>
        <v>0</v>
      </c>
      <c r="AD97" s="189">
        <f>0</f>
        <v>0</v>
      </c>
      <c r="AE97" s="189">
        <f>0</f>
        <v>0</v>
      </c>
      <c r="AF97" s="189">
        <f>0</f>
        <v>0</v>
      </c>
      <c r="AG97" s="189">
        <f>0</f>
        <v>0</v>
      </c>
      <c r="AH97" s="189">
        <f>0</f>
        <v>0</v>
      </c>
      <c r="AI97" s="189">
        <f>0</f>
        <v>0</v>
      </c>
      <c r="AJ97" s="189">
        <f>0</f>
        <v>0</v>
      </c>
      <c r="AK97" s="189">
        <f>0</f>
        <v>0</v>
      </c>
      <c r="AL97" s="190">
        <f>0</f>
        <v>0</v>
      </c>
    </row>
    <row r="98" spans="1:39" ht="24" hidden="1" outlineLevel="2">
      <c r="B98" s="285" t="s">
        <v>433</v>
      </c>
      <c r="C98" s="288" t="s">
        <v>434</v>
      </c>
      <c r="D98" s="287" t="s">
        <v>435</v>
      </c>
      <c r="E98" s="185">
        <f>0</f>
        <v>0</v>
      </c>
      <c r="F98" s="186">
        <f>0</f>
        <v>0</v>
      </c>
      <c r="G98" s="186">
        <f>0</f>
        <v>0</v>
      </c>
      <c r="H98" s="187">
        <f>0</f>
        <v>0</v>
      </c>
      <c r="I98" s="188">
        <f>0</f>
        <v>0</v>
      </c>
      <c r="J98" s="189">
        <f>0</f>
        <v>0</v>
      </c>
      <c r="K98" s="189">
        <f>0</f>
        <v>0</v>
      </c>
      <c r="L98" s="189">
        <f>0</f>
        <v>0</v>
      </c>
      <c r="M98" s="189">
        <f>0</f>
        <v>0</v>
      </c>
      <c r="N98" s="189">
        <f>0</f>
        <v>0</v>
      </c>
      <c r="O98" s="189">
        <f>0</f>
        <v>0</v>
      </c>
      <c r="P98" s="189">
        <f>0</f>
        <v>0</v>
      </c>
      <c r="Q98" s="189">
        <f>0</f>
        <v>0</v>
      </c>
      <c r="R98" s="189">
        <f>0</f>
        <v>0</v>
      </c>
      <c r="S98" s="189">
        <f>0</f>
        <v>0</v>
      </c>
      <c r="T98" s="189">
        <f>0</f>
        <v>0</v>
      </c>
      <c r="U98" s="189">
        <f>0</f>
        <v>0</v>
      </c>
      <c r="V98" s="189">
        <f>0</f>
        <v>0</v>
      </c>
      <c r="W98" s="189">
        <f>0</f>
        <v>0</v>
      </c>
      <c r="X98" s="189">
        <f>0</f>
        <v>0</v>
      </c>
      <c r="Y98" s="189">
        <f>0</f>
        <v>0</v>
      </c>
      <c r="Z98" s="189">
        <f>0</f>
        <v>0</v>
      </c>
      <c r="AA98" s="189">
        <f>0</f>
        <v>0</v>
      </c>
      <c r="AB98" s="189">
        <f>0</f>
        <v>0</v>
      </c>
      <c r="AC98" s="189">
        <f>0</f>
        <v>0</v>
      </c>
      <c r="AD98" s="189">
        <f>0</f>
        <v>0</v>
      </c>
      <c r="AE98" s="189">
        <f>0</f>
        <v>0</v>
      </c>
      <c r="AF98" s="189">
        <f>0</f>
        <v>0</v>
      </c>
      <c r="AG98" s="189">
        <f>0</f>
        <v>0</v>
      </c>
      <c r="AH98" s="189">
        <f>0</f>
        <v>0</v>
      </c>
      <c r="AI98" s="189">
        <f>0</f>
        <v>0</v>
      </c>
      <c r="AJ98" s="189">
        <f>0</f>
        <v>0</v>
      </c>
      <c r="AK98" s="189">
        <f>0</f>
        <v>0</v>
      </c>
      <c r="AL98" s="190">
        <f>0</f>
        <v>0</v>
      </c>
    </row>
    <row r="99" spans="1:39" ht="15" outlineLevel="1">
      <c r="A99" s="264" t="s">
        <v>202</v>
      </c>
      <c r="B99" s="281">
        <v>14</v>
      </c>
      <c r="C99" s="282" t="s">
        <v>436</v>
      </c>
      <c r="D99" s="283" t="s">
        <v>436</v>
      </c>
      <c r="E99" s="191" t="s">
        <v>202</v>
      </c>
      <c r="F99" s="192" t="s">
        <v>202</v>
      </c>
      <c r="G99" s="192" t="s">
        <v>202</v>
      </c>
      <c r="H99" s="193" t="s">
        <v>202</v>
      </c>
      <c r="I99" s="194" t="s">
        <v>202</v>
      </c>
      <c r="J99" s="195" t="s">
        <v>202</v>
      </c>
      <c r="K99" s="195" t="s">
        <v>202</v>
      </c>
      <c r="L99" s="195" t="s">
        <v>202</v>
      </c>
      <c r="M99" s="195" t="s">
        <v>202</v>
      </c>
      <c r="N99" s="195" t="s">
        <v>202</v>
      </c>
      <c r="O99" s="195" t="s">
        <v>202</v>
      </c>
      <c r="P99" s="195" t="s">
        <v>202</v>
      </c>
      <c r="Q99" s="195" t="s">
        <v>202</v>
      </c>
      <c r="R99" s="195" t="s">
        <v>202</v>
      </c>
      <c r="S99" s="195" t="s">
        <v>202</v>
      </c>
      <c r="T99" s="195" t="s">
        <v>202</v>
      </c>
      <c r="U99" s="195" t="s">
        <v>202</v>
      </c>
      <c r="V99" s="195" t="s">
        <v>202</v>
      </c>
      <c r="W99" s="195" t="s">
        <v>202</v>
      </c>
      <c r="X99" s="195" t="s">
        <v>202</v>
      </c>
      <c r="Y99" s="195" t="s">
        <v>202</v>
      </c>
      <c r="Z99" s="195" t="s">
        <v>202</v>
      </c>
      <c r="AA99" s="195" t="s">
        <v>202</v>
      </c>
      <c r="AB99" s="195" t="s">
        <v>202</v>
      </c>
      <c r="AC99" s="195" t="s">
        <v>202</v>
      </c>
      <c r="AD99" s="195" t="s">
        <v>202</v>
      </c>
      <c r="AE99" s="195" t="s">
        <v>202</v>
      </c>
      <c r="AF99" s="195" t="s">
        <v>202</v>
      </c>
      <c r="AG99" s="195" t="s">
        <v>202</v>
      </c>
      <c r="AH99" s="195" t="s">
        <v>202</v>
      </c>
      <c r="AI99" s="195" t="s">
        <v>202</v>
      </c>
      <c r="AJ99" s="195" t="s">
        <v>202</v>
      </c>
      <c r="AK99" s="195" t="s">
        <v>202</v>
      </c>
      <c r="AL99" s="196" t="s">
        <v>202</v>
      </c>
      <c r="AM99" s="284"/>
    </row>
    <row r="100" spans="1:39" ht="36" outlineLevel="2">
      <c r="A100" s="264" t="s">
        <v>202</v>
      </c>
      <c r="B100" s="285" t="s">
        <v>437</v>
      </c>
      <c r="C100" s="288" t="s">
        <v>438</v>
      </c>
      <c r="D100" s="287" t="s">
        <v>439</v>
      </c>
      <c r="E100" s="185">
        <f>0</f>
        <v>0</v>
      </c>
      <c r="F100" s="186">
        <f>1503605.29</f>
        <v>1503605.29</v>
      </c>
      <c r="G100" s="186">
        <f>1594521</f>
        <v>1594521</v>
      </c>
      <c r="H100" s="187">
        <f>0</f>
        <v>0</v>
      </c>
      <c r="I100" s="188">
        <f>1864521</f>
        <v>1864521</v>
      </c>
      <c r="J100" s="189">
        <f>1953410</f>
        <v>1953410</v>
      </c>
      <c r="K100" s="189">
        <f>1953410</f>
        <v>1953410</v>
      </c>
      <c r="L100" s="189">
        <f>1953410</f>
        <v>1953410</v>
      </c>
      <c r="M100" s="189">
        <f>1953410</f>
        <v>1953410</v>
      </c>
      <c r="N100" s="189">
        <f>1953410</f>
        <v>1953410</v>
      </c>
      <c r="O100" s="189">
        <f>1913410</f>
        <v>1913410</v>
      </c>
      <c r="P100" s="189">
        <f>1010016</f>
        <v>1010016</v>
      </c>
      <c r="Q100" s="189">
        <f>358852</f>
        <v>358852</v>
      </c>
      <c r="R100" s="189">
        <f>358933.42</f>
        <v>358933.42</v>
      </c>
      <c r="S100" s="189">
        <f>0</f>
        <v>0</v>
      </c>
      <c r="T100" s="189">
        <f>0</f>
        <v>0</v>
      </c>
      <c r="U100" s="189">
        <f>0</f>
        <v>0</v>
      </c>
      <c r="V100" s="189">
        <f>0</f>
        <v>0</v>
      </c>
      <c r="W100" s="189">
        <f>0</f>
        <v>0</v>
      </c>
      <c r="X100" s="189">
        <f>0</f>
        <v>0</v>
      </c>
      <c r="Y100" s="189">
        <f>0</f>
        <v>0</v>
      </c>
      <c r="Z100" s="189">
        <f>0</f>
        <v>0</v>
      </c>
      <c r="AA100" s="189">
        <f>0</f>
        <v>0</v>
      </c>
      <c r="AB100" s="189">
        <f>0</f>
        <v>0</v>
      </c>
      <c r="AC100" s="189">
        <f>0</f>
        <v>0</v>
      </c>
      <c r="AD100" s="189">
        <f>0</f>
        <v>0</v>
      </c>
      <c r="AE100" s="189">
        <f>0</f>
        <v>0</v>
      </c>
      <c r="AF100" s="189">
        <f>0</f>
        <v>0</v>
      </c>
      <c r="AG100" s="189">
        <f>0</f>
        <v>0</v>
      </c>
      <c r="AH100" s="189">
        <f>0</f>
        <v>0</v>
      </c>
      <c r="AI100" s="189">
        <f>0</f>
        <v>0</v>
      </c>
      <c r="AJ100" s="189">
        <f>0</f>
        <v>0</v>
      </c>
      <c r="AK100" s="189">
        <f>0</f>
        <v>0</v>
      </c>
      <c r="AL100" s="190">
        <f>0</f>
        <v>0</v>
      </c>
    </row>
    <row r="101" spans="1:39" ht="26.25" customHeight="1" outlineLevel="2">
      <c r="A101" s="264" t="s">
        <v>202</v>
      </c>
      <c r="B101" s="285" t="s">
        <v>440</v>
      </c>
      <c r="C101" s="288" t="s">
        <v>441</v>
      </c>
      <c r="D101" s="287" t="s">
        <v>442</v>
      </c>
      <c r="E101" s="185">
        <f>3736719</f>
        <v>3736719</v>
      </c>
      <c r="F101" s="186">
        <f>3198776.62</f>
        <v>3198776.62</v>
      </c>
      <c r="G101" s="186">
        <f>2377811</f>
        <v>2377811</v>
      </c>
      <c r="H101" s="187">
        <f>2578389.59</f>
        <v>2578389.59</v>
      </c>
      <c r="I101" s="188">
        <f>1698359.13</f>
        <v>1698359.13</v>
      </c>
      <c r="J101" s="189">
        <f>1018904.72</f>
        <v>1018904.72</v>
      </c>
      <c r="K101" s="189">
        <f>339451</f>
        <v>339451</v>
      </c>
      <c r="L101" s="189">
        <f>10986</f>
        <v>10986</v>
      </c>
      <c r="M101" s="189">
        <f>0</f>
        <v>0</v>
      </c>
      <c r="N101" s="189">
        <f>0</f>
        <v>0</v>
      </c>
      <c r="O101" s="189">
        <f>0</f>
        <v>0</v>
      </c>
      <c r="P101" s="189">
        <f>0</f>
        <v>0</v>
      </c>
      <c r="Q101" s="189">
        <f>0</f>
        <v>0</v>
      </c>
      <c r="R101" s="189">
        <f>0</f>
        <v>0</v>
      </c>
      <c r="S101" s="189">
        <f>0</f>
        <v>0</v>
      </c>
      <c r="T101" s="189">
        <f>0</f>
        <v>0</v>
      </c>
      <c r="U101" s="189">
        <f>0</f>
        <v>0</v>
      </c>
      <c r="V101" s="189">
        <f>0</f>
        <v>0</v>
      </c>
      <c r="W101" s="189">
        <f>0</f>
        <v>0</v>
      </c>
      <c r="X101" s="189">
        <f>0</f>
        <v>0</v>
      </c>
      <c r="Y101" s="189">
        <f>0</f>
        <v>0</v>
      </c>
      <c r="Z101" s="189">
        <f>0</f>
        <v>0</v>
      </c>
      <c r="AA101" s="189">
        <f>0</f>
        <v>0</v>
      </c>
      <c r="AB101" s="189">
        <f>0</f>
        <v>0</v>
      </c>
      <c r="AC101" s="189">
        <f>0</f>
        <v>0</v>
      </c>
      <c r="AD101" s="189">
        <f>0</f>
        <v>0</v>
      </c>
      <c r="AE101" s="189">
        <f>0</f>
        <v>0</v>
      </c>
      <c r="AF101" s="189">
        <f>0</f>
        <v>0</v>
      </c>
      <c r="AG101" s="189">
        <f>0</f>
        <v>0</v>
      </c>
      <c r="AH101" s="189">
        <f>0</f>
        <v>0</v>
      </c>
      <c r="AI101" s="189">
        <f>0</f>
        <v>0</v>
      </c>
      <c r="AJ101" s="189">
        <f>0</f>
        <v>0</v>
      </c>
      <c r="AK101" s="189">
        <f>0</f>
        <v>0</v>
      </c>
      <c r="AL101" s="190">
        <f>0</f>
        <v>0</v>
      </c>
    </row>
    <row r="102" spans="1:39" outlineLevel="2">
      <c r="A102" s="264" t="s">
        <v>202</v>
      </c>
      <c r="B102" s="285" t="s">
        <v>443</v>
      </c>
      <c r="C102" s="288" t="s">
        <v>444</v>
      </c>
      <c r="D102" s="287" t="s">
        <v>445</v>
      </c>
      <c r="E102" s="185">
        <f>0</f>
        <v>0</v>
      </c>
      <c r="F102" s="186">
        <f>679453</f>
        <v>679453</v>
      </c>
      <c r="G102" s="186">
        <f>820965.62</f>
        <v>820965.62</v>
      </c>
      <c r="H102" s="187">
        <f>820965.42</f>
        <v>820965.42</v>
      </c>
      <c r="I102" s="188">
        <f>880030.46</f>
        <v>880030.46</v>
      </c>
      <c r="J102" s="189">
        <f>679454.41</f>
        <v>679454.41</v>
      </c>
      <c r="K102" s="189">
        <f>679453.72</f>
        <v>679453.72</v>
      </c>
      <c r="L102" s="189">
        <f>328465</f>
        <v>328465</v>
      </c>
      <c r="M102" s="189">
        <f>10986</f>
        <v>10986</v>
      </c>
      <c r="N102" s="189">
        <f>0</f>
        <v>0</v>
      </c>
      <c r="O102" s="189">
        <f>0</f>
        <v>0</v>
      </c>
      <c r="P102" s="189">
        <f>0</f>
        <v>0</v>
      </c>
      <c r="Q102" s="189">
        <f>0</f>
        <v>0</v>
      </c>
      <c r="R102" s="189">
        <f>0</f>
        <v>0</v>
      </c>
      <c r="S102" s="189">
        <f>0</f>
        <v>0</v>
      </c>
      <c r="T102" s="189">
        <f>0</f>
        <v>0</v>
      </c>
      <c r="U102" s="189">
        <f>0</f>
        <v>0</v>
      </c>
      <c r="V102" s="189">
        <f>0</f>
        <v>0</v>
      </c>
      <c r="W102" s="189">
        <f>0</f>
        <v>0</v>
      </c>
      <c r="X102" s="189">
        <f>0</f>
        <v>0</v>
      </c>
      <c r="Y102" s="189">
        <f>0</f>
        <v>0</v>
      </c>
      <c r="Z102" s="189">
        <f>0</f>
        <v>0</v>
      </c>
      <c r="AA102" s="189">
        <f>0</f>
        <v>0</v>
      </c>
      <c r="AB102" s="189">
        <f>0</f>
        <v>0</v>
      </c>
      <c r="AC102" s="189">
        <f>0</f>
        <v>0</v>
      </c>
      <c r="AD102" s="189">
        <f>0</f>
        <v>0</v>
      </c>
      <c r="AE102" s="189">
        <f>0</f>
        <v>0</v>
      </c>
      <c r="AF102" s="189">
        <f>0</f>
        <v>0</v>
      </c>
      <c r="AG102" s="189">
        <f>0</f>
        <v>0</v>
      </c>
      <c r="AH102" s="189">
        <f>0</f>
        <v>0</v>
      </c>
      <c r="AI102" s="189">
        <f>0</f>
        <v>0</v>
      </c>
      <c r="AJ102" s="189">
        <f>0</f>
        <v>0</v>
      </c>
      <c r="AK102" s="189">
        <f>0</f>
        <v>0</v>
      </c>
      <c r="AL102" s="190">
        <f>0</f>
        <v>0</v>
      </c>
    </row>
    <row r="103" spans="1:39" ht="24" outlineLevel="3">
      <c r="A103" s="264" t="s">
        <v>202</v>
      </c>
      <c r="B103" s="285" t="s">
        <v>446</v>
      </c>
      <c r="C103" s="288" t="s">
        <v>447</v>
      </c>
      <c r="D103" s="289" t="s">
        <v>448</v>
      </c>
      <c r="E103" s="185">
        <f>0</f>
        <v>0</v>
      </c>
      <c r="F103" s="186">
        <f>0</f>
        <v>0</v>
      </c>
      <c r="G103" s="186">
        <f>141512.21</f>
        <v>141512.21</v>
      </c>
      <c r="H103" s="187">
        <f>141512.21</f>
        <v>141512.21</v>
      </c>
      <c r="I103" s="188">
        <f>0</f>
        <v>0</v>
      </c>
      <c r="J103" s="189">
        <f>0</f>
        <v>0</v>
      </c>
      <c r="K103" s="189">
        <f>0</f>
        <v>0</v>
      </c>
      <c r="L103" s="189">
        <f>0</f>
        <v>0</v>
      </c>
      <c r="M103" s="189">
        <f>0</f>
        <v>0</v>
      </c>
      <c r="N103" s="189">
        <f>0</f>
        <v>0</v>
      </c>
      <c r="O103" s="189">
        <f>0</f>
        <v>0</v>
      </c>
      <c r="P103" s="189">
        <f>0</f>
        <v>0</v>
      </c>
      <c r="Q103" s="189">
        <f>0</f>
        <v>0</v>
      </c>
      <c r="R103" s="189">
        <f>0</f>
        <v>0</v>
      </c>
      <c r="S103" s="189">
        <f>0</f>
        <v>0</v>
      </c>
      <c r="T103" s="189">
        <f>0</f>
        <v>0</v>
      </c>
      <c r="U103" s="189">
        <f>0</f>
        <v>0</v>
      </c>
      <c r="V103" s="189">
        <f>0</f>
        <v>0</v>
      </c>
      <c r="W103" s="189">
        <f>0</f>
        <v>0</v>
      </c>
      <c r="X103" s="189">
        <f>0</f>
        <v>0</v>
      </c>
      <c r="Y103" s="189">
        <f>0</f>
        <v>0</v>
      </c>
      <c r="Z103" s="189">
        <f>0</f>
        <v>0</v>
      </c>
      <c r="AA103" s="189">
        <f>0</f>
        <v>0</v>
      </c>
      <c r="AB103" s="189">
        <f>0</f>
        <v>0</v>
      </c>
      <c r="AC103" s="189">
        <f>0</f>
        <v>0</v>
      </c>
      <c r="AD103" s="189">
        <f>0</f>
        <v>0</v>
      </c>
      <c r="AE103" s="189">
        <f>0</f>
        <v>0</v>
      </c>
      <c r="AF103" s="189">
        <f>0</f>
        <v>0</v>
      </c>
      <c r="AG103" s="189">
        <f>0</f>
        <v>0</v>
      </c>
      <c r="AH103" s="189">
        <f>0</f>
        <v>0</v>
      </c>
      <c r="AI103" s="189">
        <f>0</f>
        <v>0</v>
      </c>
      <c r="AJ103" s="189">
        <f>0</f>
        <v>0</v>
      </c>
      <c r="AK103" s="189">
        <f>0</f>
        <v>0</v>
      </c>
      <c r="AL103" s="190">
        <f>0</f>
        <v>0</v>
      </c>
    </row>
    <row r="104" spans="1:39" ht="24" outlineLevel="3">
      <c r="A104" s="264" t="s">
        <v>202</v>
      </c>
      <c r="B104" s="285" t="s">
        <v>449</v>
      </c>
      <c r="C104" s="288" t="s">
        <v>450</v>
      </c>
      <c r="D104" s="289" t="s">
        <v>451</v>
      </c>
      <c r="E104" s="185">
        <f>0</f>
        <v>0</v>
      </c>
      <c r="F104" s="186">
        <f>679453</f>
        <v>679453</v>
      </c>
      <c r="G104" s="186">
        <f>679453.41</f>
        <v>679453.41</v>
      </c>
      <c r="H104" s="187">
        <f>679453.2</f>
        <v>679453.2</v>
      </c>
      <c r="I104" s="188">
        <f>880030.46</f>
        <v>880030.46</v>
      </c>
      <c r="J104" s="189">
        <f>679454.41</f>
        <v>679454.41</v>
      </c>
      <c r="K104" s="189">
        <f>679453.72</f>
        <v>679453.72</v>
      </c>
      <c r="L104" s="189">
        <f>328465</f>
        <v>328465</v>
      </c>
      <c r="M104" s="189">
        <f>10986</f>
        <v>10986</v>
      </c>
      <c r="N104" s="189">
        <f>0</f>
        <v>0</v>
      </c>
      <c r="O104" s="189">
        <f>0</f>
        <v>0</v>
      </c>
      <c r="P104" s="189">
        <f>0</f>
        <v>0</v>
      </c>
      <c r="Q104" s="189">
        <f>0</f>
        <v>0</v>
      </c>
      <c r="R104" s="189">
        <f>0</f>
        <v>0</v>
      </c>
      <c r="S104" s="189">
        <f>0</f>
        <v>0</v>
      </c>
      <c r="T104" s="189">
        <f>0</f>
        <v>0</v>
      </c>
      <c r="U104" s="189">
        <f>0</f>
        <v>0</v>
      </c>
      <c r="V104" s="189">
        <f>0</f>
        <v>0</v>
      </c>
      <c r="W104" s="189">
        <f>0</f>
        <v>0</v>
      </c>
      <c r="X104" s="189">
        <f>0</f>
        <v>0</v>
      </c>
      <c r="Y104" s="189">
        <f>0</f>
        <v>0</v>
      </c>
      <c r="Z104" s="189">
        <f>0</f>
        <v>0</v>
      </c>
      <c r="AA104" s="189">
        <f>0</f>
        <v>0</v>
      </c>
      <c r="AB104" s="189">
        <f>0</f>
        <v>0</v>
      </c>
      <c r="AC104" s="189">
        <f>0</f>
        <v>0</v>
      </c>
      <c r="AD104" s="189">
        <f>0</f>
        <v>0</v>
      </c>
      <c r="AE104" s="189">
        <f>0</f>
        <v>0</v>
      </c>
      <c r="AF104" s="189">
        <f>0</f>
        <v>0</v>
      </c>
      <c r="AG104" s="189">
        <f>0</f>
        <v>0</v>
      </c>
      <c r="AH104" s="189">
        <f>0</f>
        <v>0</v>
      </c>
      <c r="AI104" s="189">
        <f>0</f>
        <v>0</v>
      </c>
      <c r="AJ104" s="189">
        <f>0</f>
        <v>0</v>
      </c>
      <c r="AK104" s="189">
        <f>0</f>
        <v>0</v>
      </c>
      <c r="AL104" s="190">
        <f>0</f>
        <v>0</v>
      </c>
    </row>
    <row r="105" spans="1:39" outlineLevel="3">
      <c r="A105" s="264" t="s">
        <v>202</v>
      </c>
      <c r="B105" s="285" t="s">
        <v>452</v>
      </c>
      <c r="C105" s="288" t="s">
        <v>453</v>
      </c>
      <c r="D105" s="289" t="s">
        <v>454</v>
      </c>
      <c r="E105" s="185">
        <f>0</f>
        <v>0</v>
      </c>
      <c r="F105" s="186">
        <f>0</f>
        <v>0</v>
      </c>
      <c r="G105" s="186">
        <f>0</f>
        <v>0</v>
      </c>
      <c r="H105" s="187">
        <f>0</f>
        <v>0</v>
      </c>
      <c r="I105" s="188">
        <f>0</f>
        <v>0</v>
      </c>
      <c r="J105" s="189">
        <f>0</f>
        <v>0</v>
      </c>
      <c r="K105" s="189">
        <f>0</f>
        <v>0</v>
      </c>
      <c r="L105" s="189">
        <f>0</f>
        <v>0</v>
      </c>
      <c r="M105" s="189">
        <f>0</f>
        <v>0</v>
      </c>
      <c r="N105" s="189">
        <f>0</f>
        <v>0</v>
      </c>
      <c r="O105" s="189">
        <f>0</f>
        <v>0</v>
      </c>
      <c r="P105" s="189">
        <f>0</f>
        <v>0</v>
      </c>
      <c r="Q105" s="189">
        <f>0</f>
        <v>0</v>
      </c>
      <c r="R105" s="189">
        <f>0</f>
        <v>0</v>
      </c>
      <c r="S105" s="189">
        <f>0</f>
        <v>0</v>
      </c>
      <c r="T105" s="189">
        <f>0</f>
        <v>0</v>
      </c>
      <c r="U105" s="189">
        <f>0</f>
        <v>0</v>
      </c>
      <c r="V105" s="189">
        <f>0</f>
        <v>0</v>
      </c>
      <c r="W105" s="189">
        <f>0</f>
        <v>0</v>
      </c>
      <c r="X105" s="189">
        <f>0</f>
        <v>0</v>
      </c>
      <c r="Y105" s="189">
        <f>0</f>
        <v>0</v>
      </c>
      <c r="Z105" s="189">
        <f>0</f>
        <v>0</v>
      </c>
      <c r="AA105" s="189">
        <f>0</f>
        <v>0</v>
      </c>
      <c r="AB105" s="189">
        <f>0</f>
        <v>0</v>
      </c>
      <c r="AC105" s="189">
        <f>0</f>
        <v>0</v>
      </c>
      <c r="AD105" s="189">
        <f>0</f>
        <v>0</v>
      </c>
      <c r="AE105" s="189">
        <f>0</f>
        <v>0</v>
      </c>
      <c r="AF105" s="189">
        <f>0</f>
        <v>0</v>
      </c>
      <c r="AG105" s="189">
        <f>0</f>
        <v>0</v>
      </c>
      <c r="AH105" s="189">
        <f>0</f>
        <v>0</v>
      </c>
      <c r="AI105" s="189">
        <f>0</f>
        <v>0</v>
      </c>
      <c r="AJ105" s="189">
        <f>0</f>
        <v>0</v>
      </c>
      <c r="AK105" s="189">
        <f>0</f>
        <v>0</v>
      </c>
      <c r="AL105" s="190">
        <f>0</f>
        <v>0</v>
      </c>
    </row>
    <row r="106" spans="1:39" ht="22.5" customHeight="1" outlineLevel="2">
      <c r="A106" s="264" t="s">
        <v>202</v>
      </c>
      <c r="B106" s="285" t="s">
        <v>455</v>
      </c>
      <c r="C106" s="288" t="s">
        <v>456</v>
      </c>
      <c r="D106" s="287" t="s">
        <v>457</v>
      </c>
      <c r="E106" s="185">
        <f>0</f>
        <v>0</v>
      </c>
      <c r="F106" s="186">
        <f>0</f>
        <v>0</v>
      </c>
      <c r="G106" s="186">
        <f>0</f>
        <v>0</v>
      </c>
      <c r="H106" s="187">
        <f>0</f>
        <v>0</v>
      </c>
      <c r="I106" s="188">
        <f>0</f>
        <v>0</v>
      </c>
      <c r="J106" s="189">
        <f>0</f>
        <v>0</v>
      </c>
      <c r="K106" s="189">
        <f>0</f>
        <v>0</v>
      </c>
      <c r="L106" s="189">
        <f>0</f>
        <v>0</v>
      </c>
      <c r="M106" s="189">
        <f>0</f>
        <v>0</v>
      </c>
      <c r="N106" s="189">
        <f>0</f>
        <v>0</v>
      </c>
      <c r="O106" s="189">
        <f>0</f>
        <v>0</v>
      </c>
      <c r="P106" s="189">
        <f>0</f>
        <v>0</v>
      </c>
      <c r="Q106" s="189">
        <f>0</f>
        <v>0</v>
      </c>
      <c r="R106" s="189">
        <f>0</f>
        <v>0</v>
      </c>
      <c r="S106" s="189">
        <f>0</f>
        <v>0</v>
      </c>
      <c r="T106" s="189">
        <f>0</f>
        <v>0</v>
      </c>
      <c r="U106" s="189">
        <f>0</f>
        <v>0</v>
      </c>
      <c r="V106" s="189">
        <f>0</f>
        <v>0</v>
      </c>
      <c r="W106" s="189">
        <f>0</f>
        <v>0</v>
      </c>
      <c r="X106" s="189">
        <f>0</f>
        <v>0</v>
      </c>
      <c r="Y106" s="189">
        <f>0</f>
        <v>0</v>
      </c>
      <c r="Z106" s="189">
        <f>0</f>
        <v>0</v>
      </c>
      <c r="AA106" s="189">
        <f>0</f>
        <v>0</v>
      </c>
      <c r="AB106" s="189">
        <f>0</f>
        <v>0</v>
      </c>
      <c r="AC106" s="189">
        <f>0</f>
        <v>0</v>
      </c>
      <c r="AD106" s="189">
        <f>0</f>
        <v>0</v>
      </c>
      <c r="AE106" s="189">
        <f>0</f>
        <v>0</v>
      </c>
      <c r="AF106" s="189">
        <f>0</f>
        <v>0</v>
      </c>
      <c r="AG106" s="189">
        <f>0</f>
        <v>0</v>
      </c>
      <c r="AH106" s="189">
        <f>0</f>
        <v>0</v>
      </c>
      <c r="AI106" s="189">
        <f>0</f>
        <v>0</v>
      </c>
      <c r="AJ106" s="189">
        <f>0</f>
        <v>0</v>
      </c>
      <c r="AK106" s="189">
        <f>0</f>
        <v>0</v>
      </c>
      <c r="AL106" s="190">
        <f>0</f>
        <v>0</v>
      </c>
    </row>
    <row r="107" spans="1:39" outlineLevel="1">
      <c r="B107" s="281">
        <v>15</v>
      </c>
      <c r="C107" s="282" t="s">
        <v>458</v>
      </c>
      <c r="D107" s="283" t="s">
        <v>458</v>
      </c>
      <c r="E107" s="191" t="s">
        <v>202</v>
      </c>
      <c r="F107" s="192" t="s">
        <v>202</v>
      </c>
      <c r="G107" s="192" t="s">
        <v>202</v>
      </c>
      <c r="H107" s="193" t="s">
        <v>202</v>
      </c>
      <c r="I107" s="194" t="s">
        <v>202</v>
      </c>
      <c r="J107" s="195" t="s">
        <v>202</v>
      </c>
      <c r="K107" s="195" t="s">
        <v>202</v>
      </c>
      <c r="L107" s="195" t="s">
        <v>202</v>
      </c>
      <c r="M107" s="195" t="s">
        <v>202</v>
      </c>
      <c r="N107" s="195" t="s">
        <v>202</v>
      </c>
      <c r="O107" s="195" t="s">
        <v>202</v>
      </c>
      <c r="P107" s="195" t="s">
        <v>202</v>
      </c>
      <c r="Q107" s="195" t="s">
        <v>202</v>
      </c>
      <c r="R107" s="195" t="s">
        <v>202</v>
      </c>
      <c r="S107" s="195" t="s">
        <v>202</v>
      </c>
      <c r="T107" s="195" t="s">
        <v>202</v>
      </c>
      <c r="U107" s="195" t="s">
        <v>202</v>
      </c>
      <c r="V107" s="195" t="s">
        <v>202</v>
      </c>
      <c r="W107" s="195" t="s">
        <v>202</v>
      </c>
      <c r="X107" s="195" t="s">
        <v>202</v>
      </c>
      <c r="Y107" s="195" t="s">
        <v>202</v>
      </c>
      <c r="Z107" s="195" t="s">
        <v>202</v>
      </c>
      <c r="AA107" s="195" t="s">
        <v>202</v>
      </c>
      <c r="AB107" s="195" t="s">
        <v>202</v>
      </c>
      <c r="AC107" s="195" t="s">
        <v>202</v>
      </c>
      <c r="AD107" s="195" t="s">
        <v>202</v>
      </c>
      <c r="AE107" s="195" t="s">
        <v>202</v>
      </c>
      <c r="AF107" s="195" t="s">
        <v>202</v>
      </c>
      <c r="AG107" s="195" t="s">
        <v>202</v>
      </c>
      <c r="AH107" s="195" t="s">
        <v>202</v>
      </c>
      <c r="AI107" s="195" t="s">
        <v>202</v>
      </c>
      <c r="AJ107" s="195" t="s">
        <v>202</v>
      </c>
      <c r="AK107" s="195" t="s">
        <v>202</v>
      </c>
      <c r="AL107" s="196" t="s">
        <v>202</v>
      </c>
    </row>
    <row r="108" spans="1:39" outlineLevel="2">
      <c r="B108" s="285" t="s">
        <v>459</v>
      </c>
      <c r="C108" s="288" t="s">
        <v>460</v>
      </c>
      <c r="D108" s="287" t="s">
        <v>461</v>
      </c>
      <c r="E108" s="185">
        <f>0</f>
        <v>0</v>
      </c>
      <c r="F108" s="186">
        <f>0</f>
        <v>0</v>
      </c>
      <c r="G108" s="186">
        <f>0</f>
        <v>0</v>
      </c>
      <c r="H108" s="187">
        <f>0</f>
        <v>0</v>
      </c>
      <c r="I108" s="188">
        <f>0</f>
        <v>0</v>
      </c>
      <c r="J108" s="189">
        <f>0</f>
        <v>0</v>
      </c>
      <c r="K108" s="189">
        <f>0</f>
        <v>0</v>
      </c>
      <c r="L108" s="189">
        <f>0</f>
        <v>0</v>
      </c>
      <c r="M108" s="189">
        <f>0</f>
        <v>0</v>
      </c>
      <c r="N108" s="189">
        <f>0</f>
        <v>0</v>
      </c>
      <c r="O108" s="189">
        <f>0</f>
        <v>0</v>
      </c>
      <c r="P108" s="189">
        <f>0</f>
        <v>0</v>
      </c>
      <c r="Q108" s="189">
        <f>0</f>
        <v>0</v>
      </c>
      <c r="R108" s="189">
        <f>0</f>
        <v>0</v>
      </c>
      <c r="S108" s="189">
        <f>0</f>
        <v>0</v>
      </c>
      <c r="T108" s="189">
        <f>0</f>
        <v>0</v>
      </c>
      <c r="U108" s="189">
        <f>0</f>
        <v>0</v>
      </c>
      <c r="V108" s="189">
        <f>0</f>
        <v>0</v>
      </c>
      <c r="W108" s="189">
        <f>0</f>
        <v>0</v>
      </c>
      <c r="X108" s="189">
        <f>0</f>
        <v>0</v>
      </c>
      <c r="Y108" s="189">
        <f>0</f>
        <v>0</v>
      </c>
      <c r="Z108" s="189">
        <f>0</f>
        <v>0</v>
      </c>
      <c r="AA108" s="189">
        <f>0</f>
        <v>0</v>
      </c>
      <c r="AB108" s="189">
        <f>0</f>
        <v>0</v>
      </c>
      <c r="AC108" s="189">
        <f>0</f>
        <v>0</v>
      </c>
      <c r="AD108" s="189">
        <f>0</f>
        <v>0</v>
      </c>
      <c r="AE108" s="189">
        <f>0</f>
        <v>0</v>
      </c>
      <c r="AF108" s="189">
        <f>0</f>
        <v>0</v>
      </c>
      <c r="AG108" s="189">
        <f>0</f>
        <v>0</v>
      </c>
      <c r="AH108" s="189">
        <f>0</f>
        <v>0</v>
      </c>
      <c r="AI108" s="189">
        <f>0</f>
        <v>0</v>
      </c>
      <c r="AJ108" s="189">
        <f>0</f>
        <v>0</v>
      </c>
      <c r="AK108" s="189">
        <f>0</f>
        <v>0</v>
      </c>
      <c r="AL108" s="190">
        <f>0</f>
        <v>0</v>
      </c>
    </row>
    <row r="109" spans="1:39" outlineLevel="3">
      <c r="A109" s="264" t="s">
        <v>202</v>
      </c>
      <c r="B109" s="285" t="s">
        <v>462</v>
      </c>
      <c r="C109" s="288" t="s">
        <v>463</v>
      </c>
      <c r="D109" s="289" t="s">
        <v>464</v>
      </c>
      <c r="E109" s="185">
        <f>0</f>
        <v>0</v>
      </c>
      <c r="F109" s="186">
        <f>0</f>
        <v>0</v>
      </c>
      <c r="G109" s="186">
        <f>0</f>
        <v>0</v>
      </c>
      <c r="H109" s="187">
        <f>0</f>
        <v>0</v>
      </c>
      <c r="I109" s="188">
        <f>0</f>
        <v>0</v>
      </c>
      <c r="J109" s="189">
        <f>0</f>
        <v>0</v>
      </c>
      <c r="K109" s="189">
        <f>0</f>
        <v>0</v>
      </c>
      <c r="L109" s="189">
        <f>0</f>
        <v>0</v>
      </c>
      <c r="M109" s="189">
        <f>0</f>
        <v>0</v>
      </c>
      <c r="N109" s="189">
        <f>0</f>
        <v>0</v>
      </c>
      <c r="O109" s="189">
        <f>0</f>
        <v>0</v>
      </c>
      <c r="P109" s="189">
        <f>0</f>
        <v>0</v>
      </c>
      <c r="Q109" s="189">
        <f>0</f>
        <v>0</v>
      </c>
      <c r="R109" s="189">
        <f>0</f>
        <v>0</v>
      </c>
      <c r="S109" s="189">
        <f>0</f>
        <v>0</v>
      </c>
      <c r="T109" s="189">
        <f>0</f>
        <v>0</v>
      </c>
      <c r="U109" s="189">
        <f>0</f>
        <v>0</v>
      </c>
      <c r="V109" s="189">
        <f>0</f>
        <v>0</v>
      </c>
      <c r="W109" s="189">
        <f>0</f>
        <v>0</v>
      </c>
      <c r="X109" s="189">
        <f>0</f>
        <v>0</v>
      </c>
      <c r="Y109" s="189">
        <f>0</f>
        <v>0</v>
      </c>
      <c r="Z109" s="189">
        <f>0</f>
        <v>0</v>
      </c>
      <c r="AA109" s="189">
        <f>0</f>
        <v>0</v>
      </c>
      <c r="AB109" s="189">
        <f>0</f>
        <v>0</v>
      </c>
      <c r="AC109" s="189">
        <f>0</f>
        <v>0</v>
      </c>
      <c r="AD109" s="189">
        <f>0</f>
        <v>0</v>
      </c>
      <c r="AE109" s="189">
        <f>0</f>
        <v>0</v>
      </c>
      <c r="AF109" s="189">
        <f>0</f>
        <v>0</v>
      </c>
      <c r="AG109" s="189">
        <f>0</f>
        <v>0</v>
      </c>
      <c r="AH109" s="189">
        <f>0</f>
        <v>0</v>
      </c>
      <c r="AI109" s="189">
        <f>0</f>
        <v>0</v>
      </c>
      <c r="AJ109" s="189">
        <f>0</f>
        <v>0</v>
      </c>
      <c r="AK109" s="189">
        <f>0</f>
        <v>0</v>
      </c>
      <c r="AL109" s="190">
        <f>0</f>
        <v>0</v>
      </c>
    </row>
    <row r="110" spans="1:39" ht="36" outlineLevel="2">
      <c r="A110" s="264" t="s">
        <v>202</v>
      </c>
      <c r="B110" s="297" t="s">
        <v>465</v>
      </c>
      <c r="C110" s="298" t="s">
        <v>466</v>
      </c>
      <c r="D110" s="299" t="s">
        <v>466</v>
      </c>
      <c r="E110" s="206">
        <f>0</f>
        <v>0</v>
      </c>
      <c r="F110" s="207">
        <f>0</f>
        <v>0</v>
      </c>
      <c r="G110" s="207">
        <f>0</f>
        <v>0</v>
      </c>
      <c r="H110" s="208">
        <f>0</f>
        <v>0</v>
      </c>
      <c r="I110" s="209">
        <f>0</f>
        <v>0</v>
      </c>
      <c r="J110" s="210">
        <f>0</f>
        <v>0</v>
      </c>
      <c r="K110" s="210">
        <f>0</f>
        <v>0</v>
      </c>
      <c r="L110" s="210">
        <f>0</f>
        <v>0</v>
      </c>
      <c r="M110" s="210">
        <f>0</f>
        <v>0</v>
      </c>
      <c r="N110" s="210">
        <f>0</f>
        <v>0</v>
      </c>
      <c r="O110" s="210">
        <f>0</f>
        <v>0</v>
      </c>
      <c r="P110" s="210">
        <f>0</f>
        <v>0</v>
      </c>
      <c r="Q110" s="210">
        <f>0</f>
        <v>0</v>
      </c>
      <c r="R110" s="210">
        <f>0</f>
        <v>0</v>
      </c>
      <c r="S110" s="210">
        <f>0</f>
        <v>0</v>
      </c>
      <c r="T110" s="210">
        <f>0</f>
        <v>0</v>
      </c>
      <c r="U110" s="210">
        <f>0</f>
        <v>0</v>
      </c>
      <c r="V110" s="210">
        <f>0</f>
        <v>0</v>
      </c>
      <c r="W110" s="210">
        <f>0</f>
        <v>0</v>
      </c>
      <c r="X110" s="210">
        <f>0</f>
        <v>0</v>
      </c>
      <c r="Y110" s="210">
        <f>0</f>
        <v>0</v>
      </c>
      <c r="Z110" s="210">
        <f>0</f>
        <v>0</v>
      </c>
      <c r="AA110" s="210">
        <f>0</f>
        <v>0</v>
      </c>
      <c r="AB110" s="210">
        <f>0</f>
        <v>0</v>
      </c>
      <c r="AC110" s="210">
        <f>0</f>
        <v>0</v>
      </c>
      <c r="AD110" s="210">
        <f>0</f>
        <v>0</v>
      </c>
      <c r="AE110" s="210">
        <f>0</f>
        <v>0</v>
      </c>
      <c r="AF110" s="210">
        <f>0</f>
        <v>0</v>
      </c>
      <c r="AG110" s="210">
        <f>0</f>
        <v>0</v>
      </c>
      <c r="AH110" s="210">
        <f>0</f>
        <v>0</v>
      </c>
      <c r="AI110" s="210">
        <f>0</f>
        <v>0</v>
      </c>
      <c r="AJ110" s="210">
        <f>0</f>
        <v>0</v>
      </c>
      <c r="AK110" s="210">
        <f>0</f>
        <v>0</v>
      </c>
      <c r="AL110" s="211">
        <f>0</f>
        <v>0</v>
      </c>
    </row>
    <row r="111" spans="1:39" hidden="1"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267"/>
    </row>
    <row r="112" spans="1:39" ht="15" hidden="1">
      <c r="B112" s="301" t="s">
        <v>467</v>
      </c>
      <c r="C112" s="300"/>
      <c r="D112" s="300"/>
      <c r="E112" s="302"/>
      <c r="F112" s="302"/>
      <c r="G112" s="302"/>
      <c r="H112" s="302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267"/>
    </row>
    <row r="113" spans="2:39" ht="15" hidden="1">
      <c r="B113" s="303" t="s">
        <v>468</v>
      </c>
      <c r="C113" s="300"/>
      <c r="D113" s="300"/>
      <c r="E113" s="304"/>
      <c r="F113" s="304"/>
      <c r="G113" s="304"/>
      <c r="H113" s="304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267"/>
    </row>
    <row r="114" spans="2:39" hidden="1">
      <c r="B114" s="305"/>
      <c r="C114" s="305"/>
      <c r="D114" s="300"/>
      <c r="E114" s="304"/>
      <c r="F114" s="304"/>
      <c r="G114" s="304"/>
      <c r="H114" s="304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267"/>
    </row>
    <row r="115" spans="2:39" hidden="1">
      <c r="B115" s="305"/>
      <c r="C115" s="305"/>
      <c r="D115" s="300"/>
      <c r="E115" s="304"/>
      <c r="F115" s="304"/>
      <c r="G115" s="304"/>
      <c r="H115" s="304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267"/>
    </row>
    <row r="116" spans="2:39" ht="15" hidden="1" collapsed="1">
      <c r="B116" s="306" t="s">
        <v>469</v>
      </c>
      <c r="C116" s="306"/>
      <c r="D116" s="306"/>
      <c r="E116" s="307"/>
      <c r="F116" s="307"/>
      <c r="G116" s="307"/>
      <c r="H116" s="304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267"/>
    </row>
    <row r="117" spans="2:39" hidden="1" outlineLevel="1">
      <c r="B117" s="308"/>
      <c r="C117" s="308"/>
      <c r="D117" s="309" t="s">
        <v>470</v>
      </c>
      <c r="E117" s="304"/>
      <c r="F117" s="304"/>
      <c r="G117" s="304"/>
      <c r="H117" s="304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267"/>
    </row>
    <row r="118" spans="2:39" hidden="1" outlineLevel="1">
      <c r="B118" s="308"/>
      <c r="C118" s="308"/>
      <c r="D118" s="310" t="s">
        <v>471</v>
      </c>
      <c r="E118" s="304"/>
      <c r="F118" s="304"/>
      <c r="G118" s="304"/>
      <c r="H118" s="304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267"/>
    </row>
    <row r="119" spans="2:39" hidden="1" outlineLevel="1">
      <c r="B119" s="308"/>
      <c r="C119" s="308"/>
      <c r="D119" s="311" t="s">
        <v>472</v>
      </c>
      <c r="E119" s="304"/>
      <c r="F119" s="304"/>
      <c r="G119" s="304"/>
      <c r="H119" s="304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267"/>
    </row>
    <row r="120" spans="2:39" hidden="1" outlineLevel="1">
      <c r="B120" s="312"/>
      <c r="C120" s="312"/>
      <c r="D120" s="313" t="s">
        <v>473</v>
      </c>
      <c r="E120" s="304"/>
      <c r="F120" s="304"/>
      <c r="G120" s="304"/>
      <c r="H120" s="304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267"/>
    </row>
    <row r="121" spans="2:39" hidden="1" outlineLevel="2">
      <c r="B121" s="212" t="s">
        <v>474</v>
      </c>
      <c r="C121" s="213" t="s">
        <v>474</v>
      </c>
      <c r="D121" s="314" t="s">
        <v>475</v>
      </c>
      <c r="E121" s="315" t="s">
        <v>202</v>
      </c>
      <c r="F121" s="316" t="s">
        <v>202</v>
      </c>
      <c r="G121" s="316" t="s">
        <v>202</v>
      </c>
      <c r="H121" s="317" t="s">
        <v>202</v>
      </c>
      <c r="I121" s="318" t="str">
        <f t="shared" ref="I121:AL121" si="6">IF(ROUND(I7+I29+I31,2)&gt;=ROUND(I18-I21,2),"TAK","NIE")</f>
        <v>TAK</v>
      </c>
      <c r="J121" s="319" t="str">
        <f t="shared" si="6"/>
        <v>TAK</v>
      </c>
      <c r="K121" s="319" t="str">
        <f t="shared" si="6"/>
        <v>TAK</v>
      </c>
      <c r="L121" s="319" t="str">
        <f t="shared" si="6"/>
        <v>TAK</v>
      </c>
      <c r="M121" s="319" t="str">
        <f t="shared" si="6"/>
        <v>TAK</v>
      </c>
      <c r="N121" s="319" t="str">
        <f t="shared" si="6"/>
        <v>TAK</v>
      </c>
      <c r="O121" s="319" t="str">
        <f t="shared" si="6"/>
        <v>TAK</v>
      </c>
      <c r="P121" s="319" t="str">
        <f t="shared" si="6"/>
        <v>TAK</v>
      </c>
      <c r="Q121" s="319" t="str">
        <f t="shared" si="6"/>
        <v>TAK</v>
      </c>
      <c r="R121" s="319" t="str">
        <f t="shared" si="6"/>
        <v>TAK</v>
      </c>
      <c r="S121" s="319" t="str">
        <f t="shared" si="6"/>
        <v>TAK</v>
      </c>
      <c r="T121" s="319" t="str">
        <f t="shared" si="6"/>
        <v>TAK</v>
      </c>
      <c r="U121" s="319" t="str">
        <f t="shared" si="6"/>
        <v>TAK</v>
      </c>
      <c r="V121" s="319" t="str">
        <f t="shared" si="6"/>
        <v>TAK</v>
      </c>
      <c r="W121" s="319" t="str">
        <f t="shared" si="6"/>
        <v>TAK</v>
      </c>
      <c r="X121" s="319" t="str">
        <f t="shared" si="6"/>
        <v>TAK</v>
      </c>
      <c r="Y121" s="319" t="str">
        <f t="shared" si="6"/>
        <v>TAK</v>
      </c>
      <c r="Z121" s="319" t="str">
        <f t="shared" si="6"/>
        <v>TAK</v>
      </c>
      <c r="AA121" s="319" t="str">
        <f t="shared" si="6"/>
        <v>TAK</v>
      </c>
      <c r="AB121" s="319" t="str">
        <f t="shared" si="6"/>
        <v>TAK</v>
      </c>
      <c r="AC121" s="319" t="str">
        <f t="shared" si="6"/>
        <v>TAK</v>
      </c>
      <c r="AD121" s="319" t="str">
        <f t="shared" si="6"/>
        <v>TAK</v>
      </c>
      <c r="AE121" s="319" t="str">
        <f t="shared" si="6"/>
        <v>TAK</v>
      </c>
      <c r="AF121" s="319" t="str">
        <f t="shared" si="6"/>
        <v>TAK</v>
      </c>
      <c r="AG121" s="319" t="str">
        <f t="shared" si="6"/>
        <v>TAK</v>
      </c>
      <c r="AH121" s="319" t="str">
        <f t="shared" si="6"/>
        <v>TAK</v>
      </c>
      <c r="AI121" s="319" t="str">
        <f t="shared" si="6"/>
        <v>TAK</v>
      </c>
      <c r="AJ121" s="319" t="str">
        <f t="shared" si="6"/>
        <v>TAK</v>
      </c>
      <c r="AK121" s="319" t="str">
        <f t="shared" si="6"/>
        <v>TAK</v>
      </c>
      <c r="AL121" s="320" t="str">
        <f t="shared" si="6"/>
        <v>TAK</v>
      </c>
    </row>
    <row r="122" spans="2:39" ht="24" hidden="1" outlineLevel="2">
      <c r="B122" s="214" t="s">
        <v>476</v>
      </c>
      <c r="C122" s="215" t="s">
        <v>476</v>
      </c>
      <c r="D122" s="321" t="s">
        <v>477</v>
      </c>
      <c r="E122" s="322" t="s">
        <v>202</v>
      </c>
      <c r="F122" s="323" t="s">
        <v>202</v>
      </c>
      <c r="G122" s="323" t="s">
        <v>202</v>
      </c>
      <c r="H122" s="324" t="s">
        <v>202</v>
      </c>
      <c r="I122" s="325" t="s">
        <v>202</v>
      </c>
      <c r="J122" s="326" t="s">
        <v>202</v>
      </c>
      <c r="K122" s="326" t="str">
        <f t="shared" ref="K122:AL122" si="7">IF(K94=0,"TAK","BŁĄD")</f>
        <v>TAK</v>
      </c>
      <c r="L122" s="326" t="str">
        <f t="shared" si="7"/>
        <v>TAK</v>
      </c>
      <c r="M122" s="326" t="str">
        <f t="shared" si="7"/>
        <v>TAK</v>
      </c>
      <c r="N122" s="326" t="str">
        <f t="shared" si="7"/>
        <v>TAK</v>
      </c>
      <c r="O122" s="326" t="str">
        <f t="shared" si="7"/>
        <v>TAK</v>
      </c>
      <c r="P122" s="326" t="str">
        <f t="shared" si="7"/>
        <v>TAK</v>
      </c>
      <c r="Q122" s="326" t="str">
        <f t="shared" si="7"/>
        <v>TAK</v>
      </c>
      <c r="R122" s="326" t="str">
        <f t="shared" si="7"/>
        <v>TAK</v>
      </c>
      <c r="S122" s="326" t="str">
        <f t="shared" si="7"/>
        <v>TAK</v>
      </c>
      <c r="T122" s="326" t="str">
        <f t="shared" si="7"/>
        <v>TAK</v>
      </c>
      <c r="U122" s="326" t="str">
        <f t="shared" si="7"/>
        <v>TAK</v>
      </c>
      <c r="V122" s="326" t="str">
        <f t="shared" si="7"/>
        <v>TAK</v>
      </c>
      <c r="W122" s="326" t="str">
        <f t="shared" si="7"/>
        <v>TAK</v>
      </c>
      <c r="X122" s="326" t="str">
        <f t="shared" si="7"/>
        <v>TAK</v>
      </c>
      <c r="Y122" s="326" t="str">
        <f t="shared" si="7"/>
        <v>TAK</v>
      </c>
      <c r="Z122" s="326" t="str">
        <f t="shared" si="7"/>
        <v>TAK</v>
      </c>
      <c r="AA122" s="326" t="str">
        <f t="shared" si="7"/>
        <v>TAK</v>
      </c>
      <c r="AB122" s="326" t="str">
        <f t="shared" si="7"/>
        <v>TAK</v>
      </c>
      <c r="AC122" s="326" t="str">
        <f t="shared" si="7"/>
        <v>TAK</v>
      </c>
      <c r="AD122" s="326" t="str">
        <f t="shared" si="7"/>
        <v>TAK</v>
      </c>
      <c r="AE122" s="326" t="str">
        <f t="shared" si="7"/>
        <v>TAK</v>
      </c>
      <c r="AF122" s="326" t="str">
        <f t="shared" si="7"/>
        <v>TAK</v>
      </c>
      <c r="AG122" s="326" t="str">
        <f t="shared" si="7"/>
        <v>TAK</v>
      </c>
      <c r="AH122" s="326" t="str">
        <f t="shared" si="7"/>
        <v>TAK</v>
      </c>
      <c r="AI122" s="326" t="str">
        <f t="shared" si="7"/>
        <v>TAK</v>
      </c>
      <c r="AJ122" s="326" t="str">
        <f t="shared" si="7"/>
        <v>TAK</v>
      </c>
      <c r="AK122" s="326" t="str">
        <f t="shared" si="7"/>
        <v>TAK</v>
      </c>
      <c r="AL122" s="327" t="str">
        <f t="shared" si="7"/>
        <v>TAK</v>
      </c>
    </row>
    <row r="123" spans="2:39" hidden="1" outlineLevel="1">
      <c r="B123" s="214" t="s">
        <v>478</v>
      </c>
      <c r="C123" s="215" t="s">
        <v>478</v>
      </c>
      <c r="D123" s="328" t="s">
        <v>479</v>
      </c>
      <c r="E123" s="322" t="s">
        <v>202</v>
      </c>
      <c r="F123" s="323" t="s">
        <v>202</v>
      </c>
      <c r="G123" s="323" t="s">
        <v>202</v>
      </c>
      <c r="H123" s="324" t="s">
        <v>202</v>
      </c>
      <c r="I123" s="329" t="str">
        <f t="shared" ref="I123:AL123" si="8">IF(ROUND(I6+I28-I17-I37,2)=0,"OK",ROUND(I6+I28-I17-I37,2))</f>
        <v>OK</v>
      </c>
      <c r="J123" s="330" t="str">
        <f t="shared" si="8"/>
        <v>OK</v>
      </c>
      <c r="K123" s="330" t="str">
        <f t="shared" si="8"/>
        <v>OK</v>
      </c>
      <c r="L123" s="330" t="str">
        <f t="shared" si="8"/>
        <v>OK</v>
      </c>
      <c r="M123" s="330" t="str">
        <f t="shared" si="8"/>
        <v>OK</v>
      </c>
      <c r="N123" s="330" t="str">
        <f t="shared" si="8"/>
        <v>OK</v>
      </c>
      <c r="O123" s="330" t="str">
        <f t="shared" si="8"/>
        <v>OK</v>
      </c>
      <c r="P123" s="330" t="str">
        <f t="shared" si="8"/>
        <v>OK</v>
      </c>
      <c r="Q123" s="330" t="str">
        <f t="shared" si="8"/>
        <v>OK</v>
      </c>
      <c r="R123" s="330" t="str">
        <f t="shared" si="8"/>
        <v>OK</v>
      </c>
      <c r="S123" s="330" t="str">
        <f t="shared" si="8"/>
        <v>OK</v>
      </c>
      <c r="T123" s="330" t="str">
        <f t="shared" si="8"/>
        <v>OK</v>
      </c>
      <c r="U123" s="330" t="str">
        <f t="shared" si="8"/>
        <v>OK</v>
      </c>
      <c r="V123" s="330" t="str">
        <f t="shared" si="8"/>
        <v>OK</v>
      </c>
      <c r="W123" s="330" t="str">
        <f t="shared" si="8"/>
        <v>OK</v>
      </c>
      <c r="X123" s="330" t="str">
        <f t="shared" si="8"/>
        <v>OK</v>
      </c>
      <c r="Y123" s="330" t="str">
        <f t="shared" si="8"/>
        <v>OK</v>
      </c>
      <c r="Z123" s="330" t="str">
        <f t="shared" si="8"/>
        <v>OK</v>
      </c>
      <c r="AA123" s="330" t="str">
        <f t="shared" si="8"/>
        <v>OK</v>
      </c>
      <c r="AB123" s="330" t="str">
        <f t="shared" si="8"/>
        <v>OK</v>
      </c>
      <c r="AC123" s="330" t="str">
        <f t="shared" si="8"/>
        <v>OK</v>
      </c>
      <c r="AD123" s="330" t="str">
        <f t="shared" si="8"/>
        <v>OK</v>
      </c>
      <c r="AE123" s="330" t="str">
        <f t="shared" si="8"/>
        <v>OK</v>
      </c>
      <c r="AF123" s="330" t="str">
        <f t="shared" si="8"/>
        <v>OK</v>
      </c>
      <c r="AG123" s="330" t="str">
        <f t="shared" si="8"/>
        <v>OK</v>
      </c>
      <c r="AH123" s="330" t="str">
        <f t="shared" si="8"/>
        <v>OK</v>
      </c>
      <c r="AI123" s="330" t="str">
        <f t="shared" si="8"/>
        <v>OK</v>
      </c>
      <c r="AJ123" s="330" t="str">
        <f t="shared" si="8"/>
        <v>OK</v>
      </c>
      <c r="AK123" s="330" t="str">
        <f t="shared" si="8"/>
        <v>OK</v>
      </c>
      <c r="AL123" s="331" t="str">
        <f t="shared" si="8"/>
        <v>OK</v>
      </c>
    </row>
    <row r="124" spans="2:39" hidden="1" outlineLevel="2">
      <c r="B124" s="216" t="s">
        <v>480</v>
      </c>
      <c r="C124" s="217" t="s">
        <v>480</v>
      </c>
      <c r="D124" s="328" t="s">
        <v>481</v>
      </c>
      <c r="E124" s="322" t="s">
        <v>202</v>
      </c>
      <c r="F124" s="323" t="s">
        <v>202</v>
      </c>
      <c r="G124" s="323" t="s">
        <v>202</v>
      </c>
      <c r="H124" s="324" t="s">
        <v>202</v>
      </c>
      <c r="I124" s="329" t="str">
        <f t="shared" ref="I124:AL124" si="9">+IF(ROUND(H44+I33-I38+(I101-H101)+I106-I44,2)=0,"OK",ROUND(H44+I33-I38+(I101-H101)+I106-I44,2))</f>
        <v>OK</v>
      </c>
      <c r="J124" s="330" t="str">
        <f t="shared" si="9"/>
        <v>OK</v>
      </c>
      <c r="K124" s="330" t="str">
        <f t="shared" si="9"/>
        <v>OK</v>
      </c>
      <c r="L124" s="330" t="str">
        <f t="shared" si="9"/>
        <v>OK</v>
      </c>
      <c r="M124" s="330" t="str">
        <f t="shared" si="9"/>
        <v>OK</v>
      </c>
      <c r="N124" s="330" t="str">
        <f t="shared" si="9"/>
        <v>OK</v>
      </c>
      <c r="O124" s="330" t="str">
        <f t="shared" si="9"/>
        <v>OK</v>
      </c>
      <c r="P124" s="330" t="str">
        <f t="shared" si="9"/>
        <v>OK</v>
      </c>
      <c r="Q124" s="330" t="str">
        <f t="shared" si="9"/>
        <v>OK</v>
      </c>
      <c r="R124" s="330" t="str">
        <f t="shared" si="9"/>
        <v>OK</v>
      </c>
      <c r="S124" s="330" t="str">
        <f t="shared" si="9"/>
        <v>OK</v>
      </c>
      <c r="T124" s="330" t="str">
        <f t="shared" si="9"/>
        <v>OK</v>
      </c>
      <c r="U124" s="330" t="str">
        <f t="shared" si="9"/>
        <v>OK</v>
      </c>
      <c r="V124" s="330" t="str">
        <f t="shared" si="9"/>
        <v>OK</v>
      </c>
      <c r="W124" s="330" t="str">
        <f t="shared" si="9"/>
        <v>OK</v>
      </c>
      <c r="X124" s="330" t="str">
        <f t="shared" si="9"/>
        <v>OK</v>
      </c>
      <c r="Y124" s="330" t="str">
        <f t="shared" si="9"/>
        <v>OK</v>
      </c>
      <c r="Z124" s="330" t="str">
        <f t="shared" si="9"/>
        <v>OK</v>
      </c>
      <c r="AA124" s="330" t="str">
        <f t="shared" si="9"/>
        <v>OK</v>
      </c>
      <c r="AB124" s="330" t="str">
        <f t="shared" si="9"/>
        <v>OK</v>
      </c>
      <c r="AC124" s="330" t="str">
        <f t="shared" si="9"/>
        <v>OK</v>
      </c>
      <c r="AD124" s="330" t="str">
        <f t="shared" si="9"/>
        <v>OK</v>
      </c>
      <c r="AE124" s="330" t="str">
        <f t="shared" si="9"/>
        <v>OK</v>
      </c>
      <c r="AF124" s="330" t="str">
        <f t="shared" si="9"/>
        <v>OK</v>
      </c>
      <c r="AG124" s="330" t="str">
        <f t="shared" si="9"/>
        <v>OK</v>
      </c>
      <c r="AH124" s="330" t="str">
        <f t="shared" si="9"/>
        <v>OK</v>
      </c>
      <c r="AI124" s="330" t="str">
        <f t="shared" si="9"/>
        <v>OK</v>
      </c>
      <c r="AJ124" s="330" t="str">
        <f t="shared" si="9"/>
        <v>OK</v>
      </c>
      <c r="AK124" s="330" t="str">
        <f t="shared" si="9"/>
        <v>OK</v>
      </c>
      <c r="AL124" s="331" t="str">
        <f t="shared" si="9"/>
        <v>OK</v>
      </c>
    </row>
    <row r="125" spans="2:39" ht="60" hidden="1" outlineLevel="2">
      <c r="B125" s="216" t="s">
        <v>482</v>
      </c>
      <c r="C125" s="217" t="s">
        <v>482</v>
      </c>
      <c r="D125" s="328" t="s">
        <v>483</v>
      </c>
      <c r="E125" s="332" t="s">
        <v>202</v>
      </c>
      <c r="F125" s="323" t="s">
        <v>202</v>
      </c>
      <c r="G125" s="323" t="s">
        <v>202</v>
      </c>
      <c r="H125" s="324" t="s">
        <v>202</v>
      </c>
      <c r="I125" s="330" t="str">
        <f t="shared" ref="I125:AL125" si="10">+IF(H101=0,"N/D",IF(ROUND(I101+I102-H101,2)=0,"OK",ROUND(I101+I102-H101,2)))</f>
        <v>OK</v>
      </c>
      <c r="J125" s="330" t="str">
        <f t="shared" si="10"/>
        <v>OK</v>
      </c>
      <c r="K125" s="330" t="str">
        <f t="shared" si="10"/>
        <v>OK</v>
      </c>
      <c r="L125" s="330" t="str">
        <f t="shared" si="10"/>
        <v>OK</v>
      </c>
      <c r="M125" s="330" t="str">
        <f t="shared" si="10"/>
        <v>OK</v>
      </c>
      <c r="N125" s="330" t="str">
        <f t="shared" si="10"/>
        <v>N/D</v>
      </c>
      <c r="O125" s="330" t="str">
        <f t="shared" si="10"/>
        <v>N/D</v>
      </c>
      <c r="P125" s="330" t="str">
        <f t="shared" si="10"/>
        <v>N/D</v>
      </c>
      <c r="Q125" s="330" t="str">
        <f t="shared" si="10"/>
        <v>N/D</v>
      </c>
      <c r="R125" s="330" t="str">
        <f t="shared" si="10"/>
        <v>N/D</v>
      </c>
      <c r="S125" s="330" t="str">
        <f t="shared" si="10"/>
        <v>N/D</v>
      </c>
      <c r="T125" s="330" t="str">
        <f t="shared" si="10"/>
        <v>N/D</v>
      </c>
      <c r="U125" s="330" t="str">
        <f t="shared" si="10"/>
        <v>N/D</v>
      </c>
      <c r="V125" s="330" t="str">
        <f t="shared" si="10"/>
        <v>N/D</v>
      </c>
      <c r="W125" s="330" t="str">
        <f t="shared" si="10"/>
        <v>N/D</v>
      </c>
      <c r="X125" s="330" t="str">
        <f t="shared" si="10"/>
        <v>N/D</v>
      </c>
      <c r="Y125" s="330" t="str">
        <f t="shared" si="10"/>
        <v>N/D</v>
      </c>
      <c r="Z125" s="330" t="str">
        <f t="shared" si="10"/>
        <v>N/D</v>
      </c>
      <c r="AA125" s="330" t="str">
        <f t="shared" si="10"/>
        <v>N/D</v>
      </c>
      <c r="AB125" s="330" t="str">
        <f t="shared" si="10"/>
        <v>N/D</v>
      </c>
      <c r="AC125" s="330" t="str">
        <f t="shared" si="10"/>
        <v>N/D</v>
      </c>
      <c r="AD125" s="330" t="str">
        <f t="shared" si="10"/>
        <v>N/D</v>
      </c>
      <c r="AE125" s="330" t="str">
        <f t="shared" si="10"/>
        <v>N/D</v>
      </c>
      <c r="AF125" s="330" t="str">
        <f t="shared" si="10"/>
        <v>N/D</v>
      </c>
      <c r="AG125" s="330" t="str">
        <f t="shared" si="10"/>
        <v>N/D</v>
      </c>
      <c r="AH125" s="330" t="str">
        <f t="shared" si="10"/>
        <v>N/D</v>
      </c>
      <c r="AI125" s="330" t="str">
        <f t="shared" si="10"/>
        <v>N/D</v>
      </c>
      <c r="AJ125" s="330" t="str">
        <f t="shared" si="10"/>
        <v>N/D</v>
      </c>
      <c r="AK125" s="330" t="str">
        <f t="shared" si="10"/>
        <v>N/D</v>
      </c>
      <c r="AL125" s="331" t="str">
        <f t="shared" si="10"/>
        <v>N/D</v>
      </c>
    </row>
    <row r="126" spans="2:39" ht="48" hidden="1" outlineLevel="2">
      <c r="B126" s="216" t="s">
        <v>484</v>
      </c>
      <c r="C126" s="217" t="s">
        <v>484</v>
      </c>
      <c r="D126" s="328" t="s">
        <v>485</v>
      </c>
      <c r="E126" s="322" t="s">
        <v>202</v>
      </c>
      <c r="F126" s="323" t="s">
        <v>202</v>
      </c>
      <c r="G126" s="323" t="s">
        <v>202</v>
      </c>
      <c r="H126" s="324" t="s">
        <v>202</v>
      </c>
      <c r="I126" s="329" t="str">
        <f t="shared" ref="I126:AL126" si="11">+IF(H92=0,"N/D",IF(ROUND(I92+(I94+I95+I96+I97)-H92,2)=0,"OK",ROUND(I92+(I94+I95+I96+I97)-H92,2)))</f>
        <v>N/D</v>
      </c>
      <c r="J126" s="330" t="str">
        <f t="shared" si="11"/>
        <v>N/D</v>
      </c>
      <c r="K126" s="330" t="str">
        <f t="shared" si="11"/>
        <v>N/D</v>
      </c>
      <c r="L126" s="330" t="str">
        <f t="shared" si="11"/>
        <v>N/D</v>
      </c>
      <c r="M126" s="330" t="str">
        <f t="shared" si="11"/>
        <v>N/D</v>
      </c>
      <c r="N126" s="330" t="str">
        <f t="shared" si="11"/>
        <v>N/D</v>
      </c>
      <c r="O126" s="330" t="str">
        <f t="shared" si="11"/>
        <v>N/D</v>
      </c>
      <c r="P126" s="330" t="str">
        <f t="shared" si="11"/>
        <v>N/D</v>
      </c>
      <c r="Q126" s="330" t="str">
        <f t="shared" si="11"/>
        <v>N/D</v>
      </c>
      <c r="R126" s="330" t="str">
        <f t="shared" si="11"/>
        <v>N/D</v>
      </c>
      <c r="S126" s="330" t="str">
        <f t="shared" si="11"/>
        <v>N/D</v>
      </c>
      <c r="T126" s="330" t="str">
        <f t="shared" si="11"/>
        <v>N/D</v>
      </c>
      <c r="U126" s="330" t="str">
        <f t="shared" si="11"/>
        <v>N/D</v>
      </c>
      <c r="V126" s="330" t="str">
        <f t="shared" si="11"/>
        <v>N/D</v>
      </c>
      <c r="W126" s="330" t="str">
        <f t="shared" si="11"/>
        <v>N/D</v>
      </c>
      <c r="X126" s="330" t="str">
        <f t="shared" si="11"/>
        <v>N/D</v>
      </c>
      <c r="Y126" s="330" t="str">
        <f t="shared" si="11"/>
        <v>N/D</v>
      </c>
      <c r="Z126" s="330" t="str">
        <f t="shared" si="11"/>
        <v>N/D</v>
      </c>
      <c r="AA126" s="330" t="str">
        <f t="shared" si="11"/>
        <v>N/D</v>
      </c>
      <c r="AB126" s="330" t="str">
        <f t="shared" si="11"/>
        <v>N/D</v>
      </c>
      <c r="AC126" s="330" t="str">
        <f t="shared" si="11"/>
        <v>N/D</v>
      </c>
      <c r="AD126" s="330" t="str">
        <f t="shared" si="11"/>
        <v>N/D</v>
      </c>
      <c r="AE126" s="330" t="str">
        <f t="shared" si="11"/>
        <v>N/D</v>
      </c>
      <c r="AF126" s="330" t="str">
        <f t="shared" si="11"/>
        <v>N/D</v>
      </c>
      <c r="AG126" s="330" t="str">
        <f t="shared" si="11"/>
        <v>N/D</v>
      </c>
      <c r="AH126" s="330" t="str">
        <f t="shared" si="11"/>
        <v>N/D</v>
      </c>
      <c r="AI126" s="330" t="str">
        <f t="shared" si="11"/>
        <v>N/D</v>
      </c>
      <c r="AJ126" s="330" t="str">
        <f t="shared" si="11"/>
        <v>N/D</v>
      </c>
      <c r="AK126" s="330" t="str">
        <f t="shared" si="11"/>
        <v>N/D</v>
      </c>
      <c r="AL126" s="331" t="str">
        <f t="shared" si="11"/>
        <v>N/D</v>
      </c>
    </row>
    <row r="127" spans="2:39" hidden="1" outlineLevel="1">
      <c r="B127" s="214" t="s">
        <v>486</v>
      </c>
      <c r="C127" s="215" t="s">
        <v>486</v>
      </c>
      <c r="D127" s="333" t="s">
        <v>487</v>
      </c>
      <c r="E127" s="322" t="s">
        <v>202</v>
      </c>
      <c r="F127" s="323" t="s">
        <v>202</v>
      </c>
      <c r="G127" s="323" t="s">
        <v>202</v>
      </c>
      <c r="H127" s="324" t="s">
        <v>202</v>
      </c>
      <c r="I127" s="334" t="str">
        <f t="shared" ref="I127:AL127" si="12">IF(I27&lt;0,IF(ROUND(I30+I32+I34+I36+I27,2)=0,"OK",ROUND(I30+I32+I34+I36+I27,2)),"N/D")</f>
        <v>N/D</v>
      </c>
      <c r="J127" s="335" t="str">
        <f t="shared" si="12"/>
        <v>N/D</v>
      </c>
      <c r="K127" s="335" t="str">
        <f t="shared" si="12"/>
        <v>N/D</v>
      </c>
      <c r="L127" s="335" t="str">
        <f t="shared" si="12"/>
        <v>N/D</v>
      </c>
      <c r="M127" s="335" t="str">
        <f t="shared" si="12"/>
        <v>N/D</v>
      </c>
      <c r="N127" s="335" t="str">
        <f t="shared" si="12"/>
        <v>N/D</v>
      </c>
      <c r="O127" s="335" t="str">
        <f t="shared" si="12"/>
        <v>N/D</v>
      </c>
      <c r="P127" s="335" t="str">
        <f t="shared" si="12"/>
        <v>N/D</v>
      </c>
      <c r="Q127" s="335" t="str">
        <f t="shared" si="12"/>
        <v>N/D</v>
      </c>
      <c r="R127" s="335" t="str">
        <f t="shared" si="12"/>
        <v>N/D</v>
      </c>
      <c r="S127" s="335" t="str">
        <f t="shared" si="12"/>
        <v>N/D</v>
      </c>
      <c r="T127" s="335" t="str">
        <f t="shared" si="12"/>
        <v>N/D</v>
      </c>
      <c r="U127" s="335" t="str">
        <f t="shared" si="12"/>
        <v>N/D</v>
      </c>
      <c r="V127" s="335" t="str">
        <f t="shared" si="12"/>
        <v>N/D</v>
      </c>
      <c r="W127" s="335" t="str">
        <f t="shared" si="12"/>
        <v>N/D</v>
      </c>
      <c r="X127" s="335" t="str">
        <f t="shared" si="12"/>
        <v>N/D</v>
      </c>
      <c r="Y127" s="335" t="str">
        <f t="shared" si="12"/>
        <v>N/D</v>
      </c>
      <c r="Z127" s="335" t="str">
        <f t="shared" si="12"/>
        <v>N/D</v>
      </c>
      <c r="AA127" s="335" t="str">
        <f t="shared" si="12"/>
        <v>N/D</v>
      </c>
      <c r="AB127" s="335" t="str">
        <f t="shared" si="12"/>
        <v>N/D</v>
      </c>
      <c r="AC127" s="335" t="str">
        <f t="shared" si="12"/>
        <v>N/D</v>
      </c>
      <c r="AD127" s="335" t="str">
        <f t="shared" si="12"/>
        <v>N/D</v>
      </c>
      <c r="AE127" s="335" t="str">
        <f t="shared" si="12"/>
        <v>N/D</v>
      </c>
      <c r="AF127" s="335" t="str">
        <f t="shared" si="12"/>
        <v>N/D</v>
      </c>
      <c r="AG127" s="335" t="str">
        <f t="shared" si="12"/>
        <v>N/D</v>
      </c>
      <c r="AH127" s="335" t="str">
        <f t="shared" si="12"/>
        <v>N/D</v>
      </c>
      <c r="AI127" s="335" t="str">
        <f t="shared" si="12"/>
        <v>N/D</v>
      </c>
      <c r="AJ127" s="335" t="str">
        <f t="shared" si="12"/>
        <v>N/D</v>
      </c>
      <c r="AK127" s="335" t="str">
        <f t="shared" si="12"/>
        <v>N/D</v>
      </c>
      <c r="AL127" s="336" t="str">
        <f t="shared" si="12"/>
        <v>N/D</v>
      </c>
    </row>
    <row r="128" spans="2:39" ht="24" hidden="1" outlineLevel="2">
      <c r="B128" s="214" t="s">
        <v>488</v>
      </c>
      <c r="C128" s="215" t="s">
        <v>488</v>
      </c>
      <c r="D128" s="333" t="s">
        <v>489</v>
      </c>
      <c r="E128" s="322" t="s">
        <v>202</v>
      </c>
      <c r="F128" s="323" t="s">
        <v>202</v>
      </c>
      <c r="G128" s="323" t="s">
        <v>202</v>
      </c>
      <c r="H128" s="324" t="s">
        <v>202</v>
      </c>
      <c r="I128" s="334" t="str">
        <f t="shared" ref="I128:AL128" si="13">IF(I27&gt;=0,IF(ROUND(I30+I32+I34+I36,2)=0,"OK",ROUND(I30+I32+I34+I36,2)),"N/D")</f>
        <v>OK</v>
      </c>
      <c r="J128" s="335" t="str">
        <f t="shared" si="13"/>
        <v>OK</v>
      </c>
      <c r="K128" s="335" t="str">
        <f t="shared" si="13"/>
        <v>OK</v>
      </c>
      <c r="L128" s="335" t="str">
        <f t="shared" si="13"/>
        <v>OK</v>
      </c>
      <c r="M128" s="335" t="str">
        <f t="shared" si="13"/>
        <v>OK</v>
      </c>
      <c r="N128" s="335" t="str">
        <f t="shared" si="13"/>
        <v>OK</v>
      </c>
      <c r="O128" s="335" t="str">
        <f t="shared" si="13"/>
        <v>OK</v>
      </c>
      <c r="P128" s="335" t="str">
        <f t="shared" si="13"/>
        <v>OK</v>
      </c>
      <c r="Q128" s="335" t="str">
        <f t="shared" si="13"/>
        <v>OK</v>
      </c>
      <c r="R128" s="335" t="str">
        <f t="shared" si="13"/>
        <v>OK</v>
      </c>
      <c r="S128" s="335" t="str">
        <f t="shared" si="13"/>
        <v>OK</v>
      </c>
      <c r="T128" s="335" t="str">
        <f t="shared" si="13"/>
        <v>OK</v>
      </c>
      <c r="U128" s="335" t="str">
        <f t="shared" si="13"/>
        <v>OK</v>
      </c>
      <c r="V128" s="335" t="str">
        <f t="shared" si="13"/>
        <v>OK</v>
      </c>
      <c r="W128" s="335" t="str">
        <f t="shared" si="13"/>
        <v>OK</v>
      </c>
      <c r="X128" s="335" t="str">
        <f t="shared" si="13"/>
        <v>OK</v>
      </c>
      <c r="Y128" s="335" t="str">
        <f t="shared" si="13"/>
        <v>OK</v>
      </c>
      <c r="Z128" s="335" t="str">
        <f t="shared" si="13"/>
        <v>OK</v>
      </c>
      <c r="AA128" s="335" t="str">
        <f t="shared" si="13"/>
        <v>OK</v>
      </c>
      <c r="AB128" s="335" t="str">
        <f t="shared" si="13"/>
        <v>OK</v>
      </c>
      <c r="AC128" s="335" t="str">
        <f t="shared" si="13"/>
        <v>OK</v>
      </c>
      <c r="AD128" s="335" t="str">
        <f t="shared" si="13"/>
        <v>OK</v>
      </c>
      <c r="AE128" s="335" t="str">
        <f t="shared" si="13"/>
        <v>OK</v>
      </c>
      <c r="AF128" s="335" t="str">
        <f t="shared" si="13"/>
        <v>OK</v>
      </c>
      <c r="AG128" s="335" t="str">
        <f t="shared" si="13"/>
        <v>OK</v>
      </c>
      <c r="AH128" s="335" t="str">
        <f t="shared" si="13"/>
        <v>OK</v>
      </c>
      <c r="AI128" s="335" t="str">
        <f t="shared" si="13"/>
        <v>OK</v>
      </c>
      <c r="AJ128" s="335" t="str">
        <f t="shared" si="13"/>
        <v>OK</v>
      </c>
      <c r="AK128" s="335" t="str">
        <f t="shared" si="13"/>
        <v>OK</v>
      </c>
      <c r="AL128" s="336" t="str">
        <f t="shared" si="13"/>
        <v>OK</v>
      </c>
    </row>
    <row r="129" spans="2:38" hidden="1" outlineLevel="2">
      <c r="B129" s="214" t="s">
        <v>490</v>
      </c>
      <c r="C129" s="215" t="s">
        <v>490</v>
      </c>
      <c r="D129" s="333" t="s">
        <v>491</v>
      </c>
      <c r="E129" s="322" t="s">
        <v>202</v>
      </c>
      <c r="F129" s="323" t="s">
        <v>202</v>
      </c>
      <c r="G129" s="323" t="s">
        <v>202</v>
      </c>
      <c r="H129" s="324" t="s">
        <v>202</v>
      </c>
      <c r="I129" s="325" t="str">
        <f t="shared" ref="I129:AL129" si="14">IF(I10&gt;=I11,"OK","BŁĄD")</f>
        <v>OK</v>
      </c>
      <c r="J129" s="326" t="str">
        <f t="shared" si="14"/>
        <v>OK</v>
      </c>
      <c r="K129" s="326" t="str">
        <f t="shared" si="14"/>
        <v>OK</v>
      </c>
      <c r="L129" s="326" t="str">
        <f t="shared" si="14"/>
        <v>OK</v>
      </c>
      <c r="M129" s="326" t="str">
        <f t="shared" si="14"/>
        <v>OK</v>
      </c>
      <c r="N129" s="326" t="str">
        <f t="shared" si="14"/>
        <v>OK</v>
      </c>
      <c r="O129" s="326" t="str">
        <f t="shared" si="14"/>
        <v>OK</v>
      </c>
      <c r="P129" s="326" t="str">
        <f t="shared" si="14"/>
        <v>OK</v>
      </c>
      <c r="Q129" s="326" t="str">
        <f t="shared" si="14"/>
        <v>OK</v>
      </c>
      <c r="R129" s="326" t="str">
        <f t="shared" si="14"/>
        <v>OK</v>
      </c>
      <c r="S129" s="326" t="str">
        <f t="shared" si="14"/>
        <v>OK</v>
      </c>
      <c r="T129" s="326" t="str">
        <f t="shared" si="14"/>
        <v>OK</v>
      </c>
      <c r="U129" s="326" t="str">
        <f t="shared" si="14"/>
        <v>OK</v>
      </c>
      <c r="V129" s="326" t="str">
        <f t="shared" si="14"/>
        <v>OK</v>
      </c>
      <c r="W129" s="326" t="str">
        <f t="shared" si="14"/>
        <v>OK</v>
      </c>
      <c r="X129" s="326" t="str">
        <f t="shared" si="14"/>
        <v>OK</v>
      </c>
      <c r="Y129" s="326" t="str">
        <f t="shared" si="14"/>
        <v>OK</v>
      </c>
      <c r="Z129" s="326" t="str">
        <f t="shared" si="14"/>
        <v>OK</v>
      </c>
      <c r="AA129" s="326" t="str">
        <f t="shared" si="14"/>
        <v>OK</v>
      </c>
      <c r="AB129" s="326" t="str">
        <f t="shared" si="14"/>
        <v>OK</v>
      </c>
      <c r="AC129" s="326" t="str">
        <f t="shared" si="14"/>
        <v>OK</v>
      </c>
      <c r="AD129" s="326" t="str">
        <f t="shared" si="14"/>
        <v>OK</v>
      </c>
      <c r="AE129" s="326" t="str">
        <f t="shared" si="14"/>
        <v>OK</v>
      </c>
      <c r="AF129" s="326" t="str">
        <f t="shared" si="14"/>
        <v>OK</v>
      </c>
      <c r="AG129" s="326" t="str">
        <f t="shared" si="14"/>
        <v>OK</v>
      </c>
      <c r="AH129" s="326" t="str">
        <f t="shared" si="14"/>
        <v>OK</v>
      </c>
      <c r="AI129" s="326" t="str">
        <f t="shared" si="14"/>
        <v>OK</v>
      </c>
      <c r="AJ129" s="326" t="str">
        <f t="shared" si="14"/>
        <v>OK</v>
      </c>
      <c r="AK129" s="326" t="str">
        <f t="shared" si="14"/>
        <v>OK</v>
      </c>
      <c r="AL129" s="327" t="str">
        <f t="shared" si="14"/>
        <v>OK</v>
      </c>
    </row>
    <row r="130" spans="2:38" hidden="1" outlineLevel="2">
      <c r="B130" s="214" t="s">
        <v>492</v>
      </c>
      <c r="C130" s="215" t="s">
        <v>492</v>
      </c>
      <c r="D130" s="333" t="s">
        <v>493</v>
      </c>
      <c r="E130" s="322" t="s">
        <v>202</v>
      </c>
      <c r="F130" s="323" t="s">
        <v>202</v>
      </c>
      <c r="G130" s="323" t="s">
        <v>202</v>
      </c>
      <c r="H130" s="324" t="s">
        <v>202</v>
      </c>
      <c r="I130" s="325" t="str">
        <f t="shared" ref="I130:AL130" si="15">IF(I13&gt;=I93,"OK","BŁĄD")</f>
        <v>OK</v>
      </c>
      <c r="J130" s="326" t="str">
        <f t="shared" si="15"/>
        <v>OK</v>
      </c>
      <c r="K130" s="326" t="str">
        <f t="shared" si="15"/>
        <v>OK</v>
      </c>
      <c r="L130" s="326" t="str">
        <f t="shared" si="15"/>
        <v>OK</v>
      </c>
      <c r="M130" s="326" t="str">
        <f t="shared" si="15"/>
        <v>OK</v>
      </c>
      <c r="N130" s="326" t="str">
        <f t="shared" si="15"/>
        <v>OK</v>
      </c>
      <c r="O130" s="326" t="str">
        <f t="shared" si="15"/>
        <v>OK</v>
      </c>
      <c r="P130" s="326" t="str">
        <f t="shared" si="15"/>
        <v>OK</v>
      </c>
      <c r="Q130" s="326" t="str">
        <f t="shared" si="15"/>
        <v>OK</v>
      </c>
      <c r="R130" s="326" t="str">
        <f t="shared" si="15"/>
        <v>OK</v>
      </c>
      <c r="S130" s="326" t="str">
        <f t="shared" si="15"/>
        <v>OK</v>
      </c>
      <c r="T130" s="326" t="str">
        <f t="shared" si="15"/>
        <v>OK</v>
      </c>
      <c r="U130" s="326" t="str">
        <f t="shared" si="15"/>
        <v>OK</v>
      </c>
      <c r="V130" s="326" t="str">
        <f t="shared" si="15"/>
        <v>OK</v>
      </c>
      <c r="W130" s="326" t="str">
        <f t="shared" si="15"/>
        <v>OK</v>
      </c>
      <c r="X130" s="326" t="str">
        <f t="shared" si="15"/>
        <v>OK</v>
      </c>
      <c r="Y130" s="326" t="str">
        <f t="shared" si="15"/>
        <v>OK</v>
      </c>
      <c r="Z130" s="326" t="str">
        <f t="shared" si="15"/>
        <v>OK</v>
      </c>
      <c r="AA130" s="326" t="str">
        <f t="shared" si="15"/>
        <v>OK</v>
      </c>
      <c r="AB130" s="326" t="str">
        <f t="shared" si="15"/>
        <v>OK</v>
      </c>
      <c r="AC130" s="326" t="str">
        <f t="shared" si="15"/>
        <v>OK</v>
      </c>
      <c r="AD130" s="326" t="str">
        <f t="shared" si="15"/>
        <v>OK</v>
      </c>
      <c r="AE130" s="326" t="str">
        <f t="shared" si="15"/>
        <v>OK</v>
      </c>
      <c r="AF130" s="326" t="str">
        <f t="shared" si="15"/>
        <v>OK</v>
      </c>
      <c r="AG130" s="326" t="str">
        <f t="shared" si="15"/>
        <v>OK</v>
      </c>
      <c r="AH130" s="326" t="str">
        <f t="shared" si="15"/>
        <v>OK</v>
      </c>
      <c r="AI130" s="326" t="str">
        <f t="shared" si="15"/>
        <v>OK</v>
      </c>
      <c r="AJ130" s="326" t="str">
        <f t="shared" si="15"/>
        <v>OK</v>
      </c>
      <c r="AK130" s="326" t="str">
        <f t="shared" si="15"/>
        <v>OK</v>
      </c>
      <c r="AL130" s="327" t="str">
        <f t="shared" si="15"/>
        <v>OK</v>
      </c>
    </row>
    <row r="131" spans="2:38" hidden="1" outlineLevel="2">
      <c r="B131" s="214" t="s">
        <v>494</v>
      </c>
      <c r="C131" s="215" t="s">
        <v>494</v>
      </c>
      <c r="D131" s="333" t="s">
        <v>495</v>
      </c>
      <c r="E131" s="322" t="s">
        <v>202</v>
      </c>
      <c r="F131" s="323" t="s">
        <v>202</v>
      </c>
      <c r="G131" s="323" t="s">
        <v>202</v>
      </c>
      <c r="H131" s="324" t="s">
        <v>202</v>
      </c>
      <c r="I131" s="325" t="str">
        <f t="shared" ref="I131:AL131" si="16">IF(I7&gt;=I8+I9+I10+I12+I13,"OK","BŁĄD")</f>
        <v>OK</v>
      </c>
      <c r="J131" s="326" t="str">
        <f t="shared" si="16"/>
        <v>OK</v>
      </c>
      <c r="K131" s="326" t="str">
        <f t="shared" si="16"/>
        <v>OK</v>
      </c>
      <c r="L131" s="326" t="str">
        <f t="shared" si="16"/>
        <v>OK</v>
      </c>
      <c r="M131" s="326" t="str">
        <f t="shared" si="16"/>
        <v>OK</v>
      </c>
      <c r="N131" s="326" t="str">
        <f t="shared" si="16"/>
        <v>OK</v>
      </c>
      <c r="O131" s="326" t="str">
        <f t="shared" si="16"/>
        <v>OK</v>
      </c>
      <c r="P131" s="326" t="str">
        <f t="shared" si="16"/>
        <v>OK</v>
      </c>
      <c r="Q131" s="326" t="str">
        <f t="shared" si="16"/>
        <v>OK</v>
      </c>
      <c r="R131" s="326" t="str">
        <f t="shared" si="16"/>
        <v>OK</v>
      </c>
      <c r="S131" s="326" t="str">
        <f t="shared" si="16"/>
        <v>OK</v>
      </c>
      <c r="T131" s="326" t="str">
        <f t="shared" si="16"/>
        <v>OK</v>
      </c>
      <c r="U131" s="326" t="str">
        <f t="shared" si="16"/>
        <v>OK</v>
      </c>
      <c r="V131" s="326" t="str">
        <f t="shared" si="16"/>
        <v>OK</v>
      </c>
      <c r="W131" s="326" t="str">
        <f t="shared" si="16"/>
        <v>OK</v>
      </c>
      <c r="X131" s="326" t="str">
        <f t="shared" si="16"/>
        <v>OK</v>
      </c>
      <c r="Y131" s="326" t="str">
        <f t="shared" si="16"/>
        <v>OK</v>
      </c>
      <c r="Z131" s="326" t="str">
        <f t="shared" si="16"/>
        <v>OK</v>
      </c>
      <c r="AA131" s="326" t="str">
        <f t="shared" si="16"/>
        <v>OK</v>
      </c>
      <c r="AB131" s="326" t="str">
        <f t="shared" si="16"/>
        <v>OK</v>
      </c>
      <c r="AC131" s="326" t="str">
        <f t="shared" si="16"/>
        <v>OK</v>
      </c>
      <c r="AD131" s="326" t="str">
        <f t="shared" si="16"/>
        <v>OK</v>
      </c>
      <c r="AE131" s="326" t="str">
        <f t="shared" si="16"/>
        <v>OK</v>
      </c>
      <c r="AF131" s="326" t="str">
        <f t="shared" si="16"/>
        <v>OK</v>
      </c>
      <c r="AG131" s="326" t="str">
        <f t="shared" si="16"/>
        <v>OK</v>
      </c>
      <c r="AH131" s="326" t="str">
        <f t="shared" si="16"/>
        <v>OK</v>
      </c>
      <c r="AI131" s="326" t="str">
        <f t="shared" si="16"/>
        <v>OK</v>
      </c>
      <c r="AJ131" s="326" t="str">
        <f t="shared" si="16"/>
        <v>OK</v>
      </c>
      <c r="AK131" s="326" t="str">
        <f t="shared" si="16"/>
        <v>OK</v>
      </c>
      <c r="AL131" s="327" t="str">
        <f t="shared" si="16"/>
        <v>OK</v>
      </c>
    </row>
    <row r="132" spans="2:38" hidden="1" outlineLevel="2">
      <c r="B132" s="214" t="s">
        <v>496</v>
      </c>
      <c r="C132" s="215" t="s">
        <v>496</v>
      </c>
      <c r="D132" s="333" t="s">
        <v>497</v>
      </c>
      <c r="E132" s="322" t="s">
        <v>202</v>
      </c>
      <c r="F132" s="323" t="s">
        <v>202</v>
      </c>
      <c r="G132" s="323" t="s">
        <v>202</v>
      </c>
      <c r="H132" s="324" t="s">
        <v>202</v>
      </c>
      <c r="I132" s="325" t="str">
        <f t="shared" ref="I132:AL132" si="17">IF(I7&gt;=I71,"OK","BŁĄD")</f>
        <v>OK</v>
      </c>
      <c r="J132" s="326" t="str">
        <f t="shared" si="17"/>
        <v>OK</v>
      </c>
      <c r="K132" s="326" t="str">
        <f t="shared" si="17"/>
        <v>OK</v>
      </c>
      <c r="L132" s="326" t="str">
        <f t="shared" si="17"/>
        <v>OK</v>
      </c>
      <c r="M132" s="326" t="str">
        <f t="shared" si="17"/>
        <v>OK</v>
      </c>
      <c r="N132" s="326" t="str">
        <f t="shared" si="17"/>
        <v>OK</v>
      </c>
      <c r="O132" s="326" t="str">
        <f t="shared" si="17"/>
        <v>OK</v>
      </c>
      <c r="P132" s="326" t="str">
        <f t="shared" si="17"/>
        <v>OK</v>
      </c>
      <c r="Q132" s="326" t="str">
        <f t="shared" si="17"/>
        <v>OK</v>
      </c>
      <c r="R132" s="326" t="str">
        <f t="shared" si="17"/>
        <v>OK</v>
      </c>
      <c r="S132" s="326" t="str">
        <f t="shared" si="17"/>
        <v>OK</v>
      </c>
      <c r="T132" s="326" t="str">
        <f t="shared" si="17"/>
        <v>OK</v>
      </c>
      <c r="U132" s="326" t="str">
        <f t="shared" si="17"/>
        <v>OK</v>
      </c>
      <c r="V132" s="326" t="str">
        <f t="shared" si="17"/>
        <v>OK</v>
      </c>
      <c r="W132" s="326" t="str">
        <f t="shared" si="17"/>
        <v>OK</v>
      </c>
      <c r="X132" s="326" t="str">
        <f t="shared" si="17"/>
        <v>OK</v>
      </c>
      <c r="Y132" s="326" t="str">
        <f t="shared" si="17"/>
        <v>OK</v>
      </c>
      <c r="Z132" s="326" t="str">
        <f t="shared" si="17"/>
        <v>OK</v>
      </c>
      <c r="AA132" s="326" t="str">
        <f t="shared" si="17"/>
        <v>OK</v>
      </c>
      <c r="AB132" s="326" t="str">
        <f t="shared" si="17"/>
        <v>OK</v>
      </c>
      <c r="AC132" s="326" t="str">
        <f t="shared" si="17"/>
        <v>OK</v>
      </c>
      <c r="AD132" s="326" t="str">
        <f t="shared" si="17"/>
        <v>OK</v>
      </c>
      <c r="AE132" s="326" t="str">
        <f t="shared" si="17"/>
        <v>OK</v>
      </c>
      <c r="AF132" s="326" t="str">
        <f t="shared" si="17"/>
        <v>OK</v>
      </c>
      <c r="AG132" s="326" t="str">
        <f t="shared" si="17"/>
        <v>OK</v>
      </c>
      <c r="AH132" s="326" t="str">
        <f t="shared" si="17"/>
        <v>OK</v>
      </c>
      <c r="AI132" s="326" t="str">
        <f t="shared" si="17"/>
        <v>OK</v>
      </c>
      <c r="AJ132" s="326" t="str">
        <f t="shared" si="17"/>
        <v>OK</v>
      </c>
      <c r="AK132" s="326" t="str">
        <f t="shared" si="17"/>
        <v>OK</v>
      </c>
      <c r="AL132" s="327" t="str">
        <f t="shared" si="17"/>
        <v>OK</v>
      </c>
    </row>
    <row r="133" spans="2:38" hidden="1" outlineLevel="2">
      <c r="B133" s="214" t="s">
        <v>498</v>
      </c>
      <c r="C133" s="215" t="s">
        <v>498</v>
      </c>
      <c r="D133" s="333" t="s">
        <v>499</v>
      </c>
      <c r="E133" s="322" t="s">
        <v>202</v>
      </c>
      <c r="F133" s="323" t="s">
        <v>202</v>
      </c>
      <c r="G133" s="323" t="s">
        <v>202</v>
      </c>
      <c r="H133" s="324" t="s">
        <v>202</v>
      </c>
      <c r="I133" s="325" t="str">
        <f t="shared" ref="I133:AL133" si="18">IF(I14&gt;=I15,"OK","BŁĄD")</f>
        <v>OK</v>
      </c>
      <c r="J133" s="326" t="str">
        <f t="shared" si="18"/>
        <v>OK</v>
      </c>
      <c r="K133" s="326" t="str">
        <f t="shared" si="18"/>
        <v>OK</v>
      </c>
      <c r="L133" s="326" t="str">
        <f t="shared" si="18"/>
        <v>OK</v>
      </c>
      <c r="M133" s="326" t="str">
        <f t="shared" si="18"/>
        <v>OK</v>
      </c>
      <c r="N133" s="326" t="str">
        <f t="shared" si="18"/>
        <v>OK</v>
      </c>
      <c r="O133" s="326" t="str">
        <f t="shared" si="18"/>
        <v>OK</v>
      </c>
      <c r="P133" s="326" t="str">
        <f t="shared" si="18"/>
        <v>OK</v>
      </c>
      <c r="Q133" s="326" t="str">
        <f t="shared" si="18"/>
        <v>OK</v>
      </c>
      <c r="R133" s="326" t="str">
        <f t="shared" si="18"/>
        <v>OK</v>
      </c>
      <c r="S133" s="326" t="str">
        <f t="shared" si="18"/>
        <v>OK</v>
      </c>
      <c r="T133" s="326" t="str">
        <f t="shared" si="18"/>
        <v>OK</v>
      </c>
      <c r="U133" s="326" t="str">
        <f t="shared" si="18"/>
        <v>OK</v>
      </c>
      <c r="V133" s="326" t="str">
        <f t="shared" si="18"/>
        <v>OK</v>
      </c>
      <c r="W133" s="326" t="str">
        <f t="shared" si="18"/>
        <v>OK</v>
      </c>
      <c r="X133" s="326" t="str">
        <f t="shared" si="18"/>
        <v>OK</v>
      </c>
      <c r="Y133" s="326" t="str">
        <f t="shared" si="18"/>
        <v>OK</v>
      </c>
      <c r="Z133" s="326" t="str">
        <f t="shared" si="18"/>
        <v>OK</v>
      </c>
      <c r="AA133" s="326" t="str">
        <f t="shared" si="18"/>
        <v>OK</v>
      </c>
      <c r="AB133" s="326" t="str">
        <f t="shared" si="18"/>
        <v>OK</v>
      </c>
      <c r="AC133" s="326" t="str">
        <f t="shared" si="18"/>
        <v>OK</v>
      </c>
      <c r="AD133" s="326" t="str">
        <f t="shared" si="18"/>
        <v>OK</v>
      </c>
      <c r="AE133" s="326" t="str">
        <f t="shared" si="18"/>
        <v>OK</v>
      </c>
      <c r="AF133" s="326" t="str">
        <f t="shared" si="18"/>
        <v>OK</v>
      </c>
      <c r="AG133" s="326" t="str">
        <f t="shared" si="18"/>
        <v>OK</v>
      </c>
      <c r="AH133" s="326" t="str">
        <f t="shared" si="18"/>
        <v>OK</v>
      </c>
      <c r="AI133" s="326" t="str">
        <f t="shared" si="18"/>
        <v>OK</v>
      </c>
      <c r="AJ133" s="326" t="str">
        <f t="shared" si="18"/>
        <v>OK</v>
      </c>
      <c r="AK133" s="326" t="str">
        <f t="shared" si="18"/>
        <v>OK</v>
      </c>
      <c r="AL133" s="327" t="str">
        <f t="shared" si="18"/>
        <v>OK</v>
      </c>
    </row>
    <row r="134" spans="2:38" hidden="1" outlineLevel="2">
      <c r="B134" s="214" t="s">
        <v>500</v>
      </c>
      <c r="C134" s="215" t="s">
        <v>500</v>
      </c>
      <c r="D134" s="333" t="s">
        <v>501</v>
      </c>
      <c r="E134" s="322" t="s">
        <v>202</v>
      </c>
      <c r="F134" s="323" t="s">
        <v>202</v>
      </c>
      <c r="G134" s="323" t="s">
        <v>202</v>
      </c>
      <c r="H134" s="324" t="s">
        <v>202</v>
      </c>
      <c r="I134" s="325" t="str">
        <f t="shared" ref="I134:AL134" si="19">IF(I14&gt;=I16,"OK","BŁĄD")</f>
        <v>OK</v>
      </c>
      <c r="J134" s="326" t="str">
        <f t="shared" si="19"/>
        <v>OK</v>
      </c>
      <c r="K134" s="326" t="str">
        <f t="shared" si="19"/>
        <v>OK</v>
      </c>
      <c r="L134" s="326" t="str">
        <f t="shared" si="19"/>
        <v>OK</v>
      </c>
      <c r="M134" s="326" t="str">
        <f t="shared" si="19"/>
        <v>OK</v>
      </c>
      <c r="N134" s="326" t="str">
        <f t="shared" si="19"/>
        <v>OK</v>
      </c>
      <c r="O134" s="326" t="str">
        <f t="shared" si="19"/>
        <v>OK</v>
      </c>
      <c r="P134" s="326" t="str">
        <f t="shared" si="19"/>
        <v>OK</v>
      </c>
      <c r="Q134" s="326" t="str">
        <f t="shared" si="19"/>
        <v>OK</v>
      </c>
      <c r="R134" s="326" t="str">
        <f t="shared" si="19"/>
        <v>OK</v>
      </c>
      <c r="S134" s="326" t="str">
        <f t="shared" si="19"/>
        <v>OK</v>
      </c>
      <c r="T134" s="326" t="str">
        <f t="shared" si="19"/>
        <v>OK</v>
      </c>
      <c r="U134" s="326" t="str">
        <f t="shared" si="19"/>
        <v>OK</v>
      </c>
      <c r="V134" s="326" t="str">
        <f t="shared" si="19"/>
        <v>OK</v>
      </c>
      <c r="W134" s="326" t="str">
        <f t="shared" si="19"/>
        <v>OK</v>
      </c>
      <c r="X134" s="326" t="str">
        <f t="shared" si="19"/>
        <v>OK</v>
      </c>
      <c r="Y134" s="326" t="str">
        <f t="shared" si="19"/>
        <v>OK</v>
      </c>
      <c r="Z134" s="326" t="str">
        <f t="shared" si="19"/>
        <v>OK</v>
      </c>
      <c r="AA134" s="326" t="str">
        <f t="shared" si="19"/>
        <v>OK</v>
      </c>
      <c r="AB134" s="326" t="str">
        <f t="shared" si="19"/>
        <v>OK</v>
      </c>
      <c r="AC134" s="326" t="str">
        <f t="shared" si="19"/>
        <v>OK</v>
      </c>
      <c r="AD134" s="326" t="str">
        <f t="shared" si="19"/>
        <v>OK</v>
      </c>
      <c r="AE134" s="326" t="str">
        <f t="shared" si="19"/>
        <v>OK</v>
      </c>
      <c r="AF134" s="326" t="str">
        <f t="shared" si="19"/>
        <v>OK</v>
      </c>
      <c r="AG134" s="326" t="str">
        <f t="shared" si="19"/>
        <v>OK</v>
      </c>
      <c r="AH134" s="326" t="str">
        <f t="shared" si="19"/>
        <v>OK</v>
      </c>
      <c r="AI134" s="326" t="str">
        <f t="shared" si="19"/>
        <v>OK</v>
      </c>
      <c r="AJ134" s="326" t="str">
        <f t="shared" si="19"/>
        <v>OK</v>
      </c>
      <c r="AK134" s="326" t="str">
        <f t="shared" si="19"/>
        <v>OK</v>
      </c>
      <c r="AL134" s="327" t="str">
        <f t="shared" si="19"/>
        <v>OK</v>
      </c>
    </row>
    <row r="135" spans="2:38" hidden="1" outlineLevel="2">
      <c r="B135" s="214" t="s">
        <v>502</v>
      </c>
      <c r="C135" s="215" t="s">
        <v>502</v>
      </c>
      <c r="D135" s="333" t="s">
        <v>503</v>
      </c>
      <c r="E135" s="322" t="s">
        <v>202</v>
      </c>
      <c r="F135" s="323" t="s">
        <v>202</v>
      </c>
      <c r="G135" s="323" t="s">
        <v>202</v>
      </c>
      <c r="H135" s="324" t="s">
        <v>202</v>
      </c>
      <c r="I135" s="325" t="str">
        <f t="shared" ref="I135:AL135" si="20">IF(I14&gt;=I74,"OK","BŁĄD")</f>
        <v>OK</v>
      </c>
      <c r="J135" s="326" t="str">
        <f t="shared" si="20"/>
        <v>OK</v>
      </c>
      <c r="K135" s="326" t="str">
        <f t="shared" si="20"/>
        <v>OK</v>
      </c>
      <c r="L135" s="326" t="str">
        <f t="shared" si="20"/>
        <v>OK</v>
      </c>
      <c r="M135" s="326" t="str">
        <f t="shared" si="20"/>
        <v>OK</v>
      </c>
      <c r="N135" s="326" t="str">
        <f t="shared" si="20"/>
        <v>OK</v>
      </c>
      <c r="O135" s="326" t="str">
        <f t="shared" si="20"/>
        <v>OK</v>
      </c>
      <c r="P135" s="326" t="str">
        <f t="shared" si="20"/>
        <v>OK</v>
      </c>
      <c r="Q135" s="326" t="str">
        <f t="shared" si="20"/>
        <v>OK</v>
      </c>
      <c r="R135" s="326" t="str">
        <f t="shared" si="20"/>
        <v>OK</v>
      </c>
      <c r="S135" s="326" t="str">
        <f t="shared" si="20"/>
        <v>OK</v>
      </c>
      <c r="T135" s="326" t="str">
        <f t="shared" si="20"/>
        <v>OK</v>
      </c>
      <c r="U135" s="326" t="str">
        <f t="shared" si="20"/>
        <v>OK</v>
      </c>
      <c r="V135" s="326" t="str">
        <f t="shared" si="20"/>
        <v>OK</v>
      </c>
      <c r="W135" s="326" t="str">
        <f t="shared" si="20"/>
        <v>OK</v>
      </c>
      <c r="X135" s="326" t="str">
        <f t="shared" si="20"/>
        <v>OK</v>
      </c>
      <c r="Y135" s="326" t="str">
        <f t="shared" si="20"/>
        <v>OK</v>
      </c>
      <c r="Z135" s="326" t="str">
        <f t="shared" si="20"/>
        <v>OK</v>
      </c>
      <c r="AA135" s="326" t="str">
        <f t="shared" si="20"/>
        <v>OK</v>
      </c>
      <c r="AB135" s="326" t="str">
        <f t="shared" si="20"/>
        <v>OK</v>
      </c>
      <c r="AC135" s="326" t="str">
        <f t="shared" si="20"/>
        <v>OK</v>
      </c>
      <c r="AD135" s="326" t="str">
        <f t="shared" si="20"/>
        <v>OK</v>
      </c>
      <c r="AE135" s="326" t="str">
        <f t="shared" si="20"/>
        <v>OK</v>
      </c>
      <c r="AF135" s="326" t="str">
        <f t="shared" si="20"/>
        <v>OK</v>
      </c>
      <c r="AG135" s="326" t="str">
        <f t="shared" si="20"/>
        <v>OK</v>
      </c>
      <c r="AH135" s="326" t="str">
        <f t="shared" si="20"/>
        <v>OK</v>
      </c>
      <c r="AI135" s="326" t="str">
        <f t="shared" si="20"/>
        <v>OK</v>
      </c>
      <c r="AJ135" s="326" t="str">
        <f t="shared" si="20"/>
        <v>OK</v>
      </c>
      <c r="AK135" s="326" t="str">
        <f t="shared" si="20"/>
        <v>OK</v>
      </c>
      <c r="AL135" s="327" t="str">
        <f t="shared" si="20"/>
        <v>OK</v>
      </c>
    </row>
    <row r="136" spans="2:38" hidden="1" outlineLevel="2">
      <c r="B136" s="214"/>
      <c r="C136" s="215"/>
      <c r="D136" s="333" t="s">
        <v>504</v>
      </c>
      <c r="E136" s="322" t="s">
        <v>202</v>
      </c>
      <c r="F136" s="323" t="s">
        <v>202</v>
      </c>
      <c r="G136" s="323" t="s">
        <v>202</v>
      </c>
      <c r="H136" s="324" t="s">
        <v>202</v>
      </c>
      <c r="I136" s="325" t="str">
        <f t="shared" ref="I136:AL136" si="21">+IF(I27&gt;0,IF(I27=I59,"OK","Błąd"),"N/D")</f>
        <v>OK</v>
      </c>
      <c r="J136" s="325" t="str">
        <f t="shared" si="21"/>
        <v>OK</v>
      </c>
      <c r="K136" s="325" t="str">
        <f t="shared" si="21"/>
        <v>OK</v>
      </c>
      <c r="L136" s="325" t="str">
        <f t="shared" si="21"/>
        <v>OK</v>
      </c>
      <c r="M136" s="325" t="str">
        <f t="shared" si="21"/>
        <v>OK</v>
      </c>
      <c r="N136" s="325" t="str">
        <f t="shared" si="21"/>
        <v>OK</v>
      </c>
      <c r="O136" s="325" t="str">
        <f t="shared" si="21"/>
        <v>OK</v>
      </c>
      <c r="P136" s="325" t="str">
        <f t="shared" si="21"/>
        <v>OK</v>
      </c>
      <c r="Q136" s="325" t="str">
        <f t="shared" si="21"/>
        <v>OK</v>
      </c>
      <c r="R136" s="325" t="str">
        <f t="shared" si="21"/>
        <v>OK</v>
      </c>
      <c r="S136" s="325" t="str">
        <f t="shared" si="21"/>
        <v>N/D</v>
      </c>
      <c r="T136" s="325" t="str">
        <f t="shared" si="21"/>
        <v>N/D</v>
      </c>
      <c r="U136" s="325" t="str">
        <f t="shared" si="21"/>
        <v>N/D</v>
      </c>
      <c r="V136" s="325" t="str">
        <f t="shared" si="21"/>
        <v>N/D</v>
      </c>
      <c r="W136" s="325" t="str">
        <f t="shared" si="21"/>
        <v>N/D</v>
      </c>
      <c r="X136" s="325" t="str">
        <f t="shared" si="21"/>
        <v>N/D</v>
      </c>
      <c r="Y136" s="325" t="str">
        <f t="shared" si="21"/>
        <v>N/D</v>
      </c>
      <c r="Z136" s="325" t="str">
        <f t="shared" si="21"/>
        <v>N/D</v>
      </c>
      <c r="AA136" s="325" t="str">
        <f t="shared" si="21"/>
        <v>N/D</v>
      </c>
      <c r="AB136" s="325" t="str">
        <f t="shared" si="21"/>
        <v>N/D</v>
      </c>
      <c r="AC136" s="325" t="str">
        <f t="shared" si="21"/>
        <v>N/D</v>
      </c>
      <c r="AD136" s="325" t="str">
        <f t="shared" si="21"/>
        <v>N/D</v>
      </c>
      <c r="AE136" s="325" t="str">
        <f t="shared" si="21"/>
        <v>N/D</v>
      </c>
      <c r="AF136" s="325" t="str">
        <f t="shared" si="21"/>
        <v>N/D</v>
      </c>
      <c r="AG136" s="325" t="str">
        <f t="shared" si="21"/>
        <v>N/D</v>
      </c>
      <c r="AH136" s="325" t="str">
        <f t="shared" si="21"/>
        <v>N/D</v>
      </c>
      <c r="AI136" s="325" t="str">
        <f t="shared" si="21"/>
        <v>N/D</v>
      </c>
      <c r="AJ136" s="325" t="str">
        <f t="shared" si="21"/>
        <v>N/D</v>
      </c>
      <c r="AK136" s="325" t="str">
        <f t="shared" si="21"/>
        <v>N/D</v>
      </c>
      <c r="AL136" s="325" t="str">
        <f t="shared" si="21"/>
        <v>N/D</v>
      </c>
    </row>
    <row r="137" spans="2:38" hidden="1" outlineLevel="2">
      <c r="B137" s="214" t="s">
        <v>505</v>
      </c>
      <c r="C137" s="215" t="s">
        <v>505</v>
      </c>
      <c r="D137" s="333" t="s">
        <v>506</v>
      </c>
      <c r="E137" s="322" t="s">
        <v>202</v>
      </c>
      <c r="F137" s="323" t="s">
        <v>202</v>
      </c>
      <c r="G137" s="323" t="s">
        <v>202</v>
      </c>
      <c r="H137" s="324" t="s">
        <v>202</v>
      </c>
      <c r="I137" s="325" t="str">
        <f t="shared" ref="I137:AL137" si="22">IF(I59&gt;=I60,"OK","BŁĄD")</f>
        <v>OK</v>
      </c>
      <c r="J137" s="326" t="str">
        <f t="shared" si="22"/>
        <v>OK</v>
      </c>
      <c r="K137" s="326" t="str">
        <f t="shared" si="22"/>
        <v>OK</v>
      </c>
      <c r="L137" s="326" t="str">
        <f t="shared" si="22"/>
        <v>OK</v>
      </c>
      <c r="M137" s="326" t="str">
        <f t="shared" si="22"/>
        <v>OK</v>
      </c>
      <c r="N137" s="326" t="str">
        <f t="shared" si="22"/>
        <v>OK</v>
      </c>
      <c r="O137" s="326" t="str">
        <f t="shared" si="22"/>
        <v>OK</v>
      </c>
      <c r="P137" s="326" t="str">
        <f t="shared" si="22"/>
        <v>OK</v>
      </c>
      <c r="Q137" s="326" t="str">
        <f t="shared" si="22"/>
        <v>OK</v>
      </c>
      <c r="R137" s="326" t="str">
        <f t="shared" si="22"/>
        <v>OK</v>
      </c>
      <c r="S137" s="326" t="str">
        <f t="shared" si="22"/>
        <v>OK</v>
      </c>
      <c r="T137" s="326" t="str">
        <f t="shared" si="22"/>
        <v>OK</v>
      </c>
      <c r="U137" s="326" t="str">
        <f t="shared" si="22"/>
        <v>OK</v>
      </c>
      <c r="V137" s="326" t="str">
        <f t="shared" si="22"/>
        <v>OK</v>
      </c>
      <c r="W137" s="326" t="str">
        <f t="shared" si="22"/>
        <v>OK</v>
      </c>
      <c r="X137" s="326" t="str">
        <f t="shared" si="22"/>
        <v>OK</v>
      </c>
      <c r="Y137" s="326" t="str">
        <f t="shared" si="22"/>
        <v>OK</v>
      </c>
      <c r="Z137" s="326" t="str">
        <f t="shared" si="22"/>
        <v>OK</v>
      </c>
      <c r="AA137" s="326" t="str">
        <f t="shared" si="22"/>
        <v>OK</v>
      </c>
      <c r="AB137" s="326" t="str">
        <f t="shared" si="22"/>
        <v>OK</v>
      </c>
      <c r="AC137" s="326" t="str">
        <f t="shared" si="22"/>
        <v>OK</v>
      </c>
      <c r="AD137" s="326" t="str">
        <f t="shared" si="22"/>
        <v>OK</v>
      </c>
      <c r="AE137" s="326" t="str">
        <f t="shared" si="22"/>
        <v>OK</v>
      </c>
      <c r="AF137" s="326" t="str">
        <f t="shared" si="22"/>
        <v>OK</v>
      </c>
      <c r="AG137" s="326" t="str">
        <f t="shared" si="22"/>
        <v>OK</v>
      </c>
      <c r="AH137" s="326" t="str">
        <f t="shared" si="22"/>
        <v>OK</v>
      </c>
      <c r="AI137" s="326" t="str">
        <f t="shared" si="22"/>
        <v>OK</v>
      </c>
      <c r="AJ137" s="326" t="str">
        <f t="shared" si="22"/>
        <v>OK</v>
      </c>
      <c r="AK137" s="326" t="str">
        <f t="shared" si="22"/>
        <v>OK</v>
      </c>
      <c r="AL137" s="327" t="str">
        <f t="shared" si="22"/>
        <v>OK</v>
      </c>
    </row>
    <row r="138" spans="2:38" hidden="1" outlineLevel="2">
      <c r="B138" s="214"/>
      <c r="C138" s="215" t="s">
        <v>507</v>
      </c>
      <c r="D138" s="333" t="s">
        <v>508</v>
      </c>
      <c r="E138" s="322" t="s">
        <v>202</v>
      </c>
      <c r="F138" s="323" t="s">
        <v>202</v>
      </c>
      <c r="G138" s="323" t="s">
        <v>202</v>
      </c>
      <c r="H138" s="324" t="s">
        <v>202</v>
      </c>
      <c r="I138" s="325" t="str">
        <f t="shared" ref="I138:AL138" si="23">IF(I59&gt;0,IF(I60&gt;0,"OK","BŁĄD"),"N/D")</f>
        <v>OK</v>
      </c>
      <c r="J138" s="326" t="str">
        <f t="shared" si="23"/>
        <v>OK</v>
      </c>
      <c r="K138" s="326" t="str">
        <f t="shared" si="23"/>
        <v>OK</v>
      </c>
      <c r="L138" s="326" t="str">
        <f t="shared" si="23"/>
        <v>OK</v>
      </c>
      <c r="M138" s="326" t="str">
        <f t="shared" si="23"/>
        <v>OK</v>
      </c>
      <c r="N138" s="326" t="str">
        <f t="shared" si="23"/>
        <v>OK</v>
      </c>
      <c r="O138" s="326" t="str">
        <f t="shared" si="23"/>
        <v>OK</v>
      </c>
      <c r="P138" s="326" t="str">
        <f t="shared" si="23"/>
        <v>OK</v>
      </c>
      <c r="Q138" s="326" t="str">
        <f t="shared" si="23"/>
        <v>OK</v>
      </c>
      <c r="R138" s="326" t="str">
        <f t="shared" si="23"/>
        <v>OK</v>
      </c>
      <c r="S138" s="326" t="str">
        <f t="shared" si="23"/>
        <v>N/D</v>
      </c>
      <c r="T138" s="326" t="str">
        <f t="shared" si="23"/>
        <v>N/D</v>
      </c>
      <c r="U138" s="326" t="str">
        <f t="shared" si="23"/>
        <v>N/D</v>
      </c>
      <c r="V138" s="326" t="str">
        <f t="shared" si="23"/>
        <v>N/D</v>
      </c>
      <c r="W138" s="326" t="str">
        <f t="shared" si="23"/>
        <v>N/D</v>
      </c>
      <c r="X138" s="326" t="str">
        <f t="shared" si="23"/>
        <v>N/D</v>
      </c>
      <c r="Y138" s="326" t="str">
        <f t="shared" si="23"/>
        <v>N/D</v>
      </c>
      <c r="Z138" s="326" t="str">
        <f t="shared" si="23"/>
        <v>N/D</v>
      </c>
      <c r="AA138" s="326" t="str">
        <f t="shared" si="23"/>
        <v>N/D</v>
      </c>
      <c r="AB138" s="326" t="str">
        <f t="shared" si="23"/>
        <v>N/D</v>
      </c>
      <c r="AC138" s="326" t="str">
        <f t="shared" si="23"/>
        <v>N/D</v>
      </c>
      <c r="AD138" s="326" t="str">
        <f t="shared" si="23"/>
        <v>N/D</v>
      </c>
      <c r="AE138" s="326" t="str">
        <f t="shared" si="23"/>
        <v>N/D</v>
      </c>
      <c r="AF138" s="326" t="str">
        <f t="shared" si="23"/>
        <v>N/D</v>
      </c>
      <c r="AG138" s="326" t="str">
        <f t="shared" si="23"/>
        <v>N/D</v>
      </c>
      <c r="AH138" s="326" t="str">
        <f t="shared" si="23"/>
        <v>N/D</v>
      </c>
      <c r="AI138" s="326" t="str">
        <f t="shared" si="23"/>
        <v>N/D</v>
      </c>
      <c r="AJ138" s="326" t="str">
        <f t="shared" si="23"/>
        <v>N/D</v>
      </c>
      <c r="AK138" s="326" t="str">
        <f t="shared" si="23"/>
        <v>N/D</v>
      </c>
      <c r="AL138" s="327" t="str">
        <f t="shared" si="23"/>
        <v>N/D</v>
      </c>
    </row>
    <row r="139" spans="2:38" hidden="1" outlineLevel="2">
      <c r="B139" s="214" t="s">
        <v>509</v>
      </c>
      <c r="C139" s="215" t="s">
        <v>509</v>
      </c>
      <c r="D139" s="333" t="s">
        <v>510</v>
      </c>
      <c r="E139" s="322" t="s">
        <v>202</v>
      </c>
      <c r="F139" s="323" t="s">
        <v>202</v>
      </c>
      <c r="G139" s="323" t="s">
        <v>202</v>
      </c>
      <c r="H139" s="324" t="s">
        <v>202</v>
      </c>
      <c r="I139" s="325" t="str">
        <f t="shared" ref="I139:AL140" si="24">IF(I71&gt;=I72,"OK","BŁĄD")</f>
        <v>OK</v>
      </c>
      <c r="J139" s="326" t="str">
        <f t="shared" si="24"/>
        <v>OK</v>
      </c>
      <c r="K139" s="326" t="str">
        <f t="shared" si="24"/>
        <v>OK</v>
      </c>
      <c r="L139" s="326" t="str">
        <f t="shared" si="24"/>
        <v>OK</v>
      </c>
      <c r="M139" s="326" t="str">
        <f t="shared" si="24"/>
        <v>OK</v>
      </c>
      <c r="N139" s="326" t="str">
        <f t="shared" si="24"/>
        <v>OK</v>
      </c>
      <c r="O139" s="326" t="str">
        <f t="shared" si="24"/>
        <v>OK</v>
      </c>
      <c r="P139" s="326" t="str">
        <f t="shared" si="24"/>
        <v>OK</v>
      </c>
      <c r="Q139" s="326" t="str">
        <f t="shared" si="24"/>
        <v>OK</v>
      </c>
      <c r="R139" s="326" t="str">
        <f t="shared" si="24"/>
        <v>OK</v>
      </c>
      <c r="S139" s="326" t="str">
        <f t="shared" si="24"/>
        <v>OK</v>
      </c>
      <c r="T139" s="326" t="str">
        <f t="shared" si="24"/>
        <v>OK</v>
      </c>
      <c r="U139" s="326" t="str">
        <f t="shared" si="24"/>
        <v>OK</v>
      </c>
      <c r="V139" s="326" t="str">
        <f t="shared" si="24"/>
        <v>OK</v>
      </c>
      <c r="W139" s="326" t="str">
        <f t="shared" si="24"/>
        <v>OK</v>
      </c>
      <c r="X139" s="326" t="str">
        <f t="shared" si="24"/>
        <v>OK</v>
      </c>
      <c r="Y139" s="326" t="str">
        <f t="shared" si="24"/>
        <v>OK</v>
      </c>
      <c r="Z139" s="326" t="str">
        <f t="shared" si="24"/>
        <v>OK</v>
      </c>
      <c r="AA139" s="326" t="str">
        <f t="shared" si="24"/>
        <v>OK</v>
      </c>
      <c r="AB139" s="326" t="str">
        <f t="shared" si="24"/>
        <v>OK</v>
      </c>
      <c r="AC139" s="326" t="str">
        <f t="shared" si="24"/>
        <v>OK</v>
      </c>
      <c r="AD139" s="326" t="str">
        <f t="shared" si="24"/>
        <v>OK</v>
      </c>
      <c r="AE139" s="326" t="str">
        <f t="shared" si="24"/>
        <v>OK</v>
      </c>
      <c r="AF139" s="326" t="str">
        <f t="shared" si="24"/>
        <v>OK</v>
      </c>
      <c r="AG139" s="326" t="str">
        <f t="shared" si="24"/>
        <v>OK</v>
      </c>
      <c r="AH139" s="326" t="str">
        <f t="shared" si="24"/>
        <v>OK</v>
      </c>
      <c r="AI139" s="326" t="str">
        <f t="shared" si="24"/>
        <v>OK</v>
      </c>
      <c r="AJ139" s="326" t="str">
        <f t="shared" si="24"/>
        <v>OK</v>
      </c>
      <c r="AK139" s="326" t="str">
        <f t="shared" si="24"/>
        <v>OK</v>
      </c>
      <c r="AL139" s="327" t="str">
        <f t="shared" si="24"/>
        <v>OK</v>
      </c>
    </row>
    <row r="140" spans="2:38" hidden="1" outlineLevel="2">
      <c r="B140" s="214" t="s">
        <v>511</v>
      </c>
      <c r="C140" s="215" t="s">
        <v>511</v>
      </c>
      <c r="D140" s="333" t="s">
        <v>512</v>
      </c>
      <c r="E140" s="322" t="s">
        <v>202</v>
      </c>
      <c r="F140" s="323" t="s">
        <v>202</v>
      </c>
      <c r="G140" s="323" t="s">
        <v>202</v>
      </c>
      <c r="H140" s="324" t="s">
        <v>202</v>
      </c>
      <c r="I140" s="325" t="str">
        <f t="shared" si="24"/>
        <v>OK</v>
      </c>
      <c r="J140" s="326" t="str">
        <f t="shared" si="24"/>
        <v>OK</v>
      </c>
      <c r="K140" s="326" t="str">
        <f t="shared" si="24"/>
        <v>OK</v>
      </c>
      <c r="L140" s="326" t="str">
        <f t="shared" si="24"/>
        <v>OK</v>
      </c>
      <c r="M140" s="326" t="str">
        <f t="shared" si="24"/>
        <v>OK</v>
      </c>
      <c r="N140" s="326" t="str">
        <f t="shared" si="24"/>
        <v>OK</v>
      </c>
      <c r="O140" s="326" t="str">
        <f t="shared" si="24"/>
        <v>OK</v>
      </c>
      <c r="P140" s="326" t="str">
        <f t="shared" si="24"/>
        <v>OK</v>
      </c>
      <c r="Q140" s="326" t="str">
        <f t="shared" si="24"/>
        <v>OK</v>
      </c>
      <c r="R140" s="326" t="str">
        <f t="shared" si="24"/>
        <v>OK</v>
      </c>
      <c r="S140" s="326" t="str">
        <f t="shared" si="24"/>
        <v>OK</v>
      </c>
      <c r="T140" s="326" t="str">
        <f t="shared" si="24"/>
        <v>OK</v>
      </c>
      <c r="U140" s="326" t="str">
        <f t="shared" si="24"/>
        <v>OK</v>
      </c>
      <c r="V140" s="326" t="str">
        <f t="shared" si="24"/>
        <v>OK</v>
      </c>
      <c r="W140" s="326" t="str">
        <f t="shared" si="24"/>
        <v>OK</v>
      </c>
      <c r="X140" s="326" t="str">
        <f t="shared" si="24"/>
        <v>OK</v>
      </c>
      <c r="Y140" s="326" t="str">
        <f t="shared" si="24"/>
        <v>OK</v>
      </c>
      <c r="Z140" s="326" t="str">
        <f t="shared" si="24"/>
        <v>OK</v>
      </c>
      <c r="AA140" s="326" t="str">
        <f t="shared" si="24"/>
        <v>OK</v>
      </c>
      <c r="AB140" s="326" t="str">
        <f t="shared" si="24"/>
        <v>OK</v>
      </c>
      <c r="AC140" s="326" t="str">
        <f t="shared" si="24"/>
        <v>OK</v>
      </c>
      <c r="AD140" s="326" t="str">
        <f t="shared" si="24"/>
        <v>OK</v>
      </c>
      <c r="AE140" s="326" t="str">
        <f t="shared" si="24"/>
        <v>OK</v>
      </c>
      <c r="AF140" s="326" t="str">
        <f t="shared" si="24"/>
        <v>OK</v>
      </c>
      <c r="AG140" s="326" t="str">
        <f t="shared" si="24"/>
        <v>OK</v>
      </c>
      <c r="AH140" s="326" t="str">
        <f t="shared" si="24"/>
        <v>OK</v>
      </c>
      <c r="AI140" s="326" t="str">
        <f t="shared" si="24"/>
        <v>OK</v>
      </c>
      <c r="AJ140" s="326" t="str">
        <f t="shared" si="24"/>
        <v>OK</v>
      </c>
      <c r="AK140" s="326" t="str">
        <f t="shared" si="24"/>
        <v>OK</v>
      </c>
      <c r="AL140" s="327" t="str">
        <f t="shared" si="24"/>
        <v>OK</v>
      </c>
    </row>
    <row r="141" spans="2:38" hidden="1" outlineLevel="2">
      <c r="B141" s="214" t="s">
        <v>513</v>
      </c>
      <c r="C141" s="215" t="s">
        <v>513</v>
      </c>
      <c r="D141" s="333" t="s">
        <v>514</v>
      </c>
      <c r="E141" s="322" t="s">
        <v>202</v>
      </c>
      <c r="F141" s="323" t="s">
        <v>202</v>
      </c>
      <c r="G141" s="323" t="s">
        <v>202</v>
      </c>
      <c r="H141" s="324" t="s">
        <v>202</v>
      </c>
      <c r="I141" s="325" t="str">
        <f t="shared" ref="I141:AL142" si="25">IF(I74&gt;=I75,"OK","BŁĄD")</f>
        <v>OK</v>
      </c>
      <c r="J141" s="326" t="str">
        <f t="shared" si="25"/>
        <v>OK</v>
      </c>
      <c r="K141" s="326" t="str">
        <f t="shared" si="25"/>
        <v>OK</v>
      </c>
      <c r="L141" s="326" t="str">
        <f t="shared" si="25"/>
        <v>OK</v>
      </c>
      <c r="M141" s="326" t="str">
        <f t="shared" si="25"/>
        <v>OK</v>
      </c>
      <c r="N141" s="326" t="str">
        <f t="shared" si="25"/>
        <v>OK</v>
      </c>
      <c r="O141" s="326" t="str">
        <f t="shared" si="25"/>
        <v>OK</v>
      </c>
      <c r="P141" s="326" t="str">
        <f t="shared" si="25"/>
        <v>OK</v>
      </c>
      <c r="Q141" s="326" t="str">
        <f t="shared" si="25"/>
        <v>OK</v>
      </c>
      <c r="R141" s="326" t="str">
        <f t="shared" si="25"/>
        <v>OK</v>
      </c>
      <c r="S141" s="326" t="str">
        <f t="shared" si="25"/>
        <v>OK</v>
      </c>
      <c r="T141" s="326" t="str">
        <f t="shared" si="25"/>
        <v>OK</v>
      </c>
      <c r="U141" s="326" t="str">
        <f t="shared" si="25"/>
        <v>OK</v>
      </c>
      <c r="V141" s="326" t="str">
        <f t="shared" si="25"/>
        <v>OK</v>
      </c>
      <c r="W141" s="326" t="str">
        <f t="shared" si="25"/>
        <v>OK</v>
      </c>
      <c r="X141" s="326" t="str">
        <f t="shared" si="25"/>
        <v>OK</v>
      </c>
      <c r="Y141" s="326" t="str">
        <f t="shared" si="25"/>
        <v>OK</v>
      </c>
      <c r="Z141" s="326" t="str">
        <f t="shared" si="25"/>
        <v>OK</v>
      </c>
      <c r="AA141" s="326" t="str">
        <f t="shared" si="25"/>
        <v>OK</v>
      </c>
      <c r="AB141" s="326" t="str">
        <f t="shared" si="25"/>
        <v>OK</v>
      </c>
      <c r="AC141" s="326" t="str">
        <f t="shared" si="25"/>
        <v>OK</v>
      </c>
      <c r="AD141" s="326" t="str">
        <f t="shared" si="25"/>
        <v>OK</v>
      </c>
      <c r="AE141" s="326" t="str">
        <f t="shared" si="25"/>
        <v>OK</v>
      </c>
      <c r="AF141" s="326" t="str">
        <f t="shared" si="25"/>
        <v>OK</v>
      </c>
      <c r="AG141" s="326" t="str">
        <f t="shared" si="25"/>
        <v>OK</v>
      </c>
      <c r="AH141" s="326" t="str">
        <f t="shared" si="25"/>
        <v>OK</v>
      </c>
      <c r="AI141" s="326" t="str">
        <f t="shared" si="25"/>
        <v>OK</v>
      </c>
      <c r="AJ141" s="326" t="str">
        <f t="shared" si="25"/>
        <v>OK</v>
      </c>
      <c r="AK141" s="326" t="str">
        <f t="shared" si="25"/>
        <v>OK</v>
      </c>
      <c r="AL141" s="327" t="str">
        <f t="shared" si="25"/>
        <v>OK</v>
      </c>
    </row>
    <row r="142" spans="2:38" hidden="1" outlineLevel="2">
      <c r="B142" s="214" t="s">
        <v>515</v>
      </c>
      <c r="C142" s="215" t="s">
        <v>515</v>
      </c>
      <c r="D142" s="333" t="s">
        <v>516</v>
      </c>
      <c r="E142" s="322" t="s">
        <v>202</v>
      </c>
      <c r="F142" s="323" t="s">
        <v>202</v>
      </c>
      <c r="G142" s="323" t="s">
        <v>202</v>
      </c>
      <c r="H142" s="324" t="s">
        <v>202</v>
      </c>
      <c r="I142" s="325" t="str">
        <f t="shared" si="25"/>
        <v>OK</v>
      </c>
      <c r="J142" s="326" t="str">
        <f t="shared" si="25"/>
        <v>OK</v>
      </c>
      <c r="K142" s="326" t="str">
        <f t="shared" si="25"/>
        <v>OK</v>
      </c>
      <c r="L142" s="326" t="str">
        <f t="shared" si="25"/>
        <v>OK</v>
      </c>
      <c r="M142" s="326" t="str">
        <f t="shared" si="25"/>
        <v>OK</v>
      </c>
      <c r="N142" s="326" t="str">
        <f t="shared" si="25"/>
        <v>OK</v>
      </c>
      <c r="O142" s="326" t="str">
        <f t="shared" si="25"/>
        <v>OK</v>
      </c>
      <c r="P142" s="326" t="str">
        <f t="shared" si="25"/>
        <v>OK</v>
      </c>
      <c r="Q142" s="326" t="str">
        <f t="shared" si="25"/>
        <v>OK</v>
      </c>
      <c r="R142" s="326" t="str">
        <f t="shared" si="25"/>
        <v>OK</v>
      </c>
      <c r="S142" s="326" t="str">
        <f t="shared" si="25"/>
        <v>OK</v>
      </c>
      <c r="T142" s="326" t="str">
        <f t="shared" si="25"/>
        <v>OK</v>
      </c>
      <c r="U142" s="326" t="str">
        <f t="shared" si="25"/>
        <v>OK</v>
      </c>
      <c r="V142" s="326" t="str">
        <f t="shared" si="25"/>
        <v>OK</v>
      </c>
      <c r="W142" s="326" t="str">
        <f t="shared" si="25"/>
        <v>OK</v>
      </c>
      <c r="X142" s="326" t="str">
        <f t="shared" si="25"/>
        <v>OK</v>
      </c>
      <c r="Y142" s="326" t="str">
        <f t="shared" si="25"/>
        <v>OK</v>
      </c>
      <c r="Z142" s="326" t="str">
        <f t="shared" si="25"/>
        <v>OK</v>
      </c>
      <c r="AA142" s="326" t="str">
        <f t="shared" si="25"/>
        <v>OK</v>
      </c>
      <c r="AB142" s="326" t="str">
        <f t="shared" si="25"/>
        <v>OK</v>
      </c>
      <c r="AC142" s="326" t="str">
        <f t="shared" si="25"/>
        <v>OK</v>
      </c>
      <c r="AD142" s="326" t="str">
        <f t="shared" si="25"/>
        <v>OK</v>
      </c>
      <c r="AE142" s="326" t="str">
        <f t="shared" si="25"/>
        <v>OK</v>
      </c>
      <c r="AF142" s="326" t="str">
        <f t="shared" si="25"/>
        <v>OK</v>
      </c>
      <c r="AG142" s="326" t="str">
        <f t="shared" si="25"/>
        <v>OK</v>
      </c>
      <c r="AH142" s="326" t="str">
        <f t="shared" si="25"/>
        <v>OK</v>
      </c>
      <c r="AI142" s="326" t="str">
        <f t="shared" si="25"/>
        <v>OK</v>
      </c>
      <c r="AJ142" s="326" t="str">
        <f t="shared" si="25"/>
        <v>OK</v>
      </c>
      <c r="AK142" s="326" t="str">
        <f t="shared" si="25"/>
        <v>OK</v>
      </c>
      <c r="AL142" s="327" t="str">
        <f t="shared" si="25"/>
        <v>OK</v>
      </c>
    </row>
    <row r="143" spans="2:38" hidden="1" outlineLevel="2">
      <c r="B143" s="214" t="s">
        <v>517</v>
      </c>
      <c r="C143" s="215" t="s">
        <v>517</v>
      </c>
      <c r="D143" s="333" t="s">
        <v>518</v>
      </c>
      <c r="E143" s="322" t="s">
        <v>202</v>
      </c>
      <c r="F143" s="323" t="s">
        <v>202</v>
      </c>
      <c r="G143" s="323" t="s">
        <v>202</v>
      </c>
      <c r="H143" s="324" t="s">
        <v>202</v>
      </c>
      <c r="I143" s="325" t="str">
        <f t="shared" ref="I143:AL143" si="26">IF(I77&gt;=I78,"OK","BŁĄD")</f>
        <v>OK</v>
      </c>
      <c r="J143" s="326" t="str">
        <f t="shared" si="26"/>
        <v>OK</v>
      </c>
      <c r="K143" s="326" t="str">
        <f t="shared" si="26"/>
        <v>OK</v>
      </c>
      <c r="L143" s="326" t="str">
        <f t="shared" si="26"/>
        <v>OK</v>
      </c>
      <c r="M143" s="326" t="str">
        <f t="shared" si="26"/>
        <v>OK</v>
      </c>
      <c r="N143" s="326" t="str">
        <f t="shared" si="26"/>
        <v>OK</v>
      </c>
      <c r="O143" s="326" t="str">
        <f t="shared" si="26"/>
        <v>OK</v>
      </c>
      <c r="P143" s="326" t="str">
        <f t="shared" si="26"/>
        <v>OK</v>
      </c>
      <c r="Q143" s="326" t="str">
        <f t="shared" si="26"/>
        <v>OK</v>
      </c>
      <c r="R143" s="326" t="str">
        <f t="shared" si="26"/>
        <v>OK</v>
      </c>
      <c r="S143" s="326" t="str">
        <f t="shared" si="26"/>
        <v>OK</v>
      </c>
      <c r="T143" s="326" t="str">
        <f t="shared" si="26"/>
        <v>OK</v>
      </c>
      <c r="U143" s="326" t="str">
        <f t="shared" si="26"/>
        <v>OK</v>
      </c>
      <c r="V143" s="326" t="str">
        <f t="shared" si="26"/>
        <v>OK</v>
      </c>
      <c r="W143" s="326" t="str">
        <f t="shared" si="26"/>
        <v>OK</v>
      </c>
      <c r="X143" s="326" t="str">
        <f t="shared" si="26"/>
        <v>OK</v>
      </c>
      <c r="Y143" s="326" t="str">
        <f t="shared" si="26"/>
        <v>OK</v>
      </c>
      <c r="Z143" s="326" t="str">
        <f t="shared" si="26"/>
        <v>OK</v>
      </c>
      <c r="AA143" s="326" t="str">
        <f t="shared" si="26"/>
        <v>OK</v>
      </c>
      <c r="AB143" s="326" t="str">
        <f t="shared" si="26"/>
        <v>OK</v>
      </c>
      <c r="AC143" s="326" t="str">
        <f t="shared" si="26"/>
        <v>OK</v>
      </c>
      <c r="AD143" s="326" t="str">
        <f t="shared" si="26"/>
        <v>OK</v>
      </c>
      <c r="AE143" s="326" t="str">
        <f t="shared" si="26"/>
        <v>OK</v>
      </c>
      <c r="AF143" s="326" t="str">
        <f t="shared" si="26"/>
        <v>OK</v>
      </c>
      <c r="AG143" s="326" t="str">
        <f t="shared" si="26"/>
        <v>OK</v>
      </c>
      <c r="AH143" s="326" t="str">
        <f t="shared" si="26"/>
        <v>OK</v>
      </c>
      <c r="AI143" s="326" t="str">
        <f t="shared" si="26"/>
        <v>OK</v>
      </c>
      <c r="AJ143" s="326" t="str">
        <f t="shared" si="26"/>
        <v>OK</v>
      </c>
      <c r="AK143" s="326" t="str">
        <f t="shared" si="26"/>
        <v>OK</v>
      </c>
      <c r="AL143" s="327" t="str">
        <f t="shared" si="26"/>
        <v>OK</v>
      </c>
    </row>
    <row r="144" spans="2:38" hidden="1" outlineLevel="2">
      <c r="B144" s="214" t="s">
        <v>519</v>
      </c>
      <c r="C144" s="215" t="s">
        <v>519</v>
      </c>
      <c r="D144" s="333" t="s">
        <v>520</v>
      </c>
      <c r="E144" s="322" t="s">
        <v>202</v>
      </c>
      <c r="F144" s="323" t="s">
        <v>202</v>
      </c>
      <c r="G144" s="323" t="s">
        <v>202</v>
      </c>
      <c r="H144" s="324" t="s">
        <v>202</v>
      </c>
      <c r="I144" s="325" t="str">
        <f t="shared" ref="I144:AL144" si="27">IF(I77&gt;=I79,"OK","BŁĄD")</f>
        <v>OK</v>
      </c>
      <c r="J144" s="326" t="str">
        <f t="shared" si="27"/>
        <v>OK</v>
      </c>
      <c r="K144" s="326" t="str">
        <f t="shared" si="27"/>
        <v>OK</v>
      </c>
      <c r="L144" s="326" t="str">
        <f t="shared" si="27"/>
        <v>OK</v>
      </c>
      <c r="M144" s="326" t="str">
        <f t="shared" si="27"/>
        <v>OK</v>
      </c>
      <c r="N144" s="326" t="str">
        <f t="shared" si="27"/>
        <v>OK</v>
      </c>
      <c r="O144" s="326" t="str">
        <f t="shared" si="27"/>
        <v>OK</v>
      </c>
      <c r="P144" s="326" t="str">
        <f t="shared" si="27"/>
        <v>OK</v>
      </c>
      <c r="Q144" s="326" t="str">
        <f t="shared" si="27"/>
        <v>OK</v>
      </c>
      <c r="R144" s="326" t="str">
        <f t="shared" si="27"/>
        <v>OK</v>
      </c>
      <c r="S144" s="326" t="str">
        <f t="shared" si="27"/>
        <v>OK</v>
      </c>
      <c r="T144" s="326" t="str">
        <f t="shared" si="27"/>
        <v>OK</v>
      </c>
      <c r="U144" s="326" t="str">
        <f t="shared" si="27"/>
        <v>OK</v>
      </c>
      <c r="V144" s="326" t="str">
        <f t="shared" si="27"/>
        <v>OK</v>
      </c>
      <c r="W144" s="326" t="str">
        <f t="shared" si="27"/>
        <v>OK</v>
      </c>
      <c r="X144" s="326" t="str">
        <f t="shared" si="27"/>
        <v>OK</v>
      </c>
      <c r="Y144" s="326" t="str">
        <f t="shared" si="27"/>
        <v>OK</v>
      </c>
      <c r="Z144" s="326" t="str">
        <f t="shared" si="27"/>
        <v>OK</v>
      </c>
      <c r="AA144" s="326" t="str">
        <f t="shared" si="27"/>
        <v>OK</v>
      </c>
      <c r="AB144" s="326" t="str">
        <f t="shared" si="27"/>
        <v>OK</v>
      </c>
      <c r="AC144" s="326" t="str">
        <f t="shared" si="27"/>
        <v>OK</v>
      </c>
      <c r="AD144" s="326" t="str">
        <f t="shared" si="27"/>
        <v>OK</v>
      </c>
      <c r="AE144" s="326" t="str">
        <f t="shared" si="27"/>
        <v>OK</v>
      </c>
      <c r="AF144" s="326" t="str">
        <f t="shared" si="27"/>
        <v>OK</v>
      </c>
      <c r="AG144" s="326" t="str">
        <f t="shared" si="27"/>
        <v>OK</v>
      </c>
      <c r="AH144" s="326" t="str">
        <f t="shared" si="27"/>
        <v>OK</v>
      </c>
      <c r="AI144" s="326" t="str">
        <f t="shared" si="27"/>
        <v>OK</v>
      </c>
      <c r="AJ144" s="326" t="str">
        <f t="shared" si="27"/>
        <v>OK</v>
      </c>
      <c r="AK144" s="326" t="str">
        <f t="shared" si="27"/>
        <v>OK</v>
      </c>
      <c r="AL144" s="327" t="str">
        <f t="shared" si="27"/>
        <v>OK</v>
      </c>
    </row>
    <row r="145" spans="2:38" hidden="1" outlineLevel="2">
      <c r="B145" s="214" t="s">
        <v>521</v>
      </c>
      <c r="C145" s="215" t="s">
        <v>521</v>
      </c>
      <c r="D145" s="333" t="s">
        <v>522</v>
      </c>
      <c r="E145" s="322" t="s">
        <v>202</v>
      </c>
      <c r="F145" s="323" t="s">
        <v>202</v>
      </c>
      <c r="G145" s="323" t="s">
        <v>202</v>
      </c>
      <c r="H145" s="324" t="s">
        <v>202</v>
      </c>
      <c r="I145" s="325" t="str">
        <f t="shared" ref="I145:AL145" si="28">IF(I80&gt;=I81,"OK","BŁĄD")</f>
        <v>OK</v>
      </c>
      <c r="J145" s="326" t="str">
        <f t="shared" si="28"/>
        <v>OK</v>
      </c>
      <c r="K145" s="326" t="str">
        <f t="shared" si="28"/>
        <v>OK</v>
      </c>
      <c r="L145" s="326" t="str">
        <f t="shared" si="28"/>
        <v>OK</v>
      </c>
      <c r="M145" s="326" t="str">
        <f t="shared" si="28"/>
        <v>OK</v>
      </c>
      <c r="N145" s="326" t="str">
        <f t="shared" si="28"/>
        <v>OK</v>
      </c>
      <c r="O145" s="326" t="str">
        <f t="shared" si="28"/>
        <v>OK</v>
      </c>
      <c r="P145" s="326" t="str">
        <f t="shared" si="28"/>
        <v>OK</v>
      </c>
      <c r="Q145" s="326" t="str">
        <f t="shared" si="28"/>
        <v>OK</v>
      </c>
      <c r="R145" s="326" t="str">
        <f t="shared" si="28"/>
        <v>OK</v>
      </c>
      <c r="S145" s="326" t="str">
        <f t="shared" si="28"/>
        <v>OK</v>
      </c>
      <c r="T145" s="326" t="str">
        <f t="shared" si="28"/>
        <v>OK</v>
      </c>
      <c r="U145" s="326" t="str">
        <f t="shared" si="28"/>
        <v>OK</v>
      </c>
      <c r="V145" s="326" t="str">
        <f t="shared" si="28"/>
        <v>OK</v>
      </c>
      <c r="W145" s="326" t="str">
        <f t="shared" si="28"/>
        <v>OK</v>
      </c>
      <c r="X145" s="326" t="str">
        <f t="shared" si="28"/>
        <v>OK</v>
      </c>
      <c r="Y145" s="326" t="str">
        <f t="shared" si="28"/>
        <v>OK</v>
      </c>
      <c r="Z145" s="326" t="str">
        <f t="shared" si="28"/>
        <v>OK</v>
      </c>
      <c r="AA145" s="326" t="str">
        <f t="shared" si="28"/>
        <v>OK</v>
      </c>
      <c r="AB145" s="326" t="str">
        <f t="shared" si="28"/>
        <v>OK</v>
      </c>
      <c r="AC145" s="326" t="str">
        <f t="shared" si="28"/>
        <v>OK</v>
      </c>
      <c r="AD145" s="326" t="str">
        <f t="shared" si="28"/>
        <v>OK</v>
      </c>
      <c r="AE145" s="326" t="str">
        <f t="shared" si="28"/>
        <v>OK</v>
      </c>
      <c r="AF145" s="326" t="str">
        <f t="shared" si="28"/>
        <v>OK</v>
      </c>
      <c r="AG145" s="326" t="str">
        <f t="shared" si="28"/>
        <v>OK</v>
      </c>
      <c r="AH145" s="326" t="str">
        <f t="shared" si="28"/>
        <v>OK</v>
      </c>
      <c r="AI145" s="326" t="str">
        <f t="shared" si="28"/>
        <v>OK</v>
      </c>
      <c r="AJ145" s="326" t="str">
        <f t="shared" si="28"/>
        <v>OK</v>
      </c>
      <c r="AK145" s="326" t="str">
        <f t="shared" si="28"/>
        <v>OK</v>
      </c>
      <c r="AL145" s="327" t="str">
        <f t="shared" si="28"/>
        <v>OK</v>
      </c>
    </row>
    <row r="146" spans="2:38" hidden="1" outlineLevel="2">
      <c r="B146" s="214" t="s">
        <v>523</v>
      </c>
      <c r="C146" s="215" t="s">
        <v>523</v>
      </c>
      <c r="D146" s="333" t="s">
        <v>524</v>
      </c>
      <c r="E146" s="322" t="s">
        <v>202</v>
      </c>
      <c r="F146" s="323" t="s">
        <v>202</v>
      </c>
      <c r="G146" s="323" t="s">
        <v>202</v>
      </c>
      <c r="H146" s="324" t="s">
        <v>202</v>
      </c>
      <c r="I146" s="325" t="str">
        <f t="shared" ref="I146:AL146" si="29">IF(I80&gt;=I82,"OK","BŁĄD")</f>
        <v>OK</v>
      </c>
      <c r="J146" s="326" t="str">
        <f t="shared" si="29"/>
        <v>OK</v>
      </c>
      <c r="K146" s="326" t="str">
        <f t="shared" si="29"/>
        <v>OK</v>
      </c>
      <c r="L146" s="326" t="str">
        <f t="shared" si="29"/>
        <v>OK</v>
      </c>
      <c r="M146" s="326" t="str">
        <f t="shared" si="29"/>
        <v>OK</v>
      </c>
      <c r="N146" s="326" t="str">
        <f t="shared" si="29"/>
        <v>OK</v>
      </c>
      <c r="O146" s="326" t="str">
        <f t="shared" si="29"/>
        <v>OK</v>
      </c>
      <c r="P146" s="326" t="str">
        <f t="shared" si="29"/>
        <v>OK</v>
      </c>
      <c r="Q146" s="326" t="str">
        <f t="shared" si="29"/>
        <v>OK</v>
      </c>
      <c r="R146" s="326" t="str">
        <f t="shared" si="29"/>
        <v>OK</v>
      </c>
      <c r="S146" s="326" t="str">
        <f t="shared" si="29"/>
        <v>OK</v>
      </c>
      <c r="T146" s="326" t="str">
        <f t="shared" si="29"/>
        <v>OK</v>
      </c>
      <c r="U146" s="326" t="str">
        <f t="shared" si="29"/>
        <v>OK</v>
      </c>
      <c r="V146" s="326" t="str">
        <f t="shared" si="29"/>
        <v>OK</v>
      </c>
      <c r="W146" s="326" t="str">
        <f t="shared" si="29"/>
        <v>OK</v>
      </c>
      <c r="X146" s="326" t="str">
        <f t="shared" si="29"/>
        <v>OK</v>
      </c>
      <c r="Y146" s="326" t="str">
        <f t="shared" si="29"/>
        <v>OK</v>
      </c>
      <c r="Z146" s="326" t="str">
        <f t="shared" si="29"/>
        <v>OK</v>
      </c>
      <c r="AA146" s="326" t="str">
        <f t="shared" si="29"/>
        <v>OK</v>
      </c>
      <c r="AB146" s="326" t="str">
        <f t="shared" si="29"/>
        <v>OK</v>
      </c>
      <c r="AC146" s="326" t="str">
        <f t="shared" si="29"/>
        <v>OK</v>
      </c>
      <c r="AD146" s="326" t="str">
        <f t="shared" si="29"/>
        <v>OK</v>
      </c>
      <c r="AE146" s="326" t="str">
        <f t="shared" si="29"/>
        <v>OK</v>
      </c>
      <c r="AF146" s="326" t="str">
        <f t="shared" si="29"/>
        <v>OK</v>
      </c>
      <c r="AG146" s="326" t="str">
        <f t="shared" si="29"/>
        <v>OK</v>
      </c>
      <c r="AH146" s="326" t="str">
        <f t="shared" si="29"/>
        <v>OK</v>
      </c>
      <c r="AI146" s="326" t="str">
        <f t="shared" si="29"/>
        <v>OK</v>
      </c>
      <c r="AJ146" s="326" t="str">
        <f t="shared" si="29"/>
        <v>OK</v>
      </c>
      <c r="AK146" s="326" t="str">
        <f t="shared" si="29"/>
        <v>OK</v>
      </c>
      <c r="AL146" s="327" t="str">
        <f t="shared" si="29"/>
        <v>OK</v>
      </c>
    </row>
    <row r="147" spans="2:38" hidden="1" outlineLevel="2">
      <c r="B147" s="214" t="s">
        <v>521</v>
      </c>
      <c r="C147" s="215" t="s">
        <v>521</v>
      </c>
      <c r="D147" s="333" t="s">
        <v>525</v>
      </c>
      <c r="E147" s="322" t="s">
        <v>202</v>
      </c>
      <c r="F147" s="323" t="s">
        <v>202</v>
      </c>
      <c r="G147" s="323" t="s">
        <v>202</v>
      </c>
      <c r="H147" s="324" t="s">
        <v>202</v>
      </c>
      <c r="I147" s="325" t="str">
        <f>IF(I83&gt;=I84,"OK","BŁĄD")</f>
        <v>OK</v>
      </c>
      <c r="J147" s="326" t="str">
        <f t="shared" ref="J147:AL147" si="30">IF(J83&gt;=J84,"OK","BŁĄD")</f>
        <v>OK</v>
      </c>
      <c r="K147" s="326" t="str">
        <f t="shared" si="30"/>
        <v>OK</v>
      </c>
      <c r="L147" s="326" t="str">
        <f t="shared" si="30"/>
        <v>OK</v>
      </c>
      <c r="M147" s="326" t="str">
        <f t="shared" si="30"/>
        <v>OK</v>
      </c>
      <c r="N147" s="326" t="str">
        <f t="shared" si="30"/>
        <v>OK</v>
      </c>
      <c r="O147" s="326" t="str">
        <f t="shared" si="30"/>
        <v>OK</v>
      </c>
      <c r="P147" s="326" t="str">
        <f t="shared" si="30"/>
        <v>OK</v>
      </c>
      <c r="Q147" s="326" t="str">
        <f t="shared" si="30"/>
        <v>OK</v>
      </c>
      <c r="R147" s="326" t="str">
        <f t="shared" si="30"/>
        <v>OK</v>
      </c>
      <c r="S147" s="326" t="str">
        <f t="shared" si="30"/>
        <v>OK</v>
      </c>
      <c r="T147" s="326" t="str">
        <f t="shared" si="30"/>
        <v>OK</v>
      </c>
      <c r="U147" s="326" t="str">
        <f t="shared" si="30"/>
        <v>OK</v>
      </c>
      <c r="V147" s="326" t="str">
        <f t="shared" si="30"/>
        <v>OK</v>
      </c>
      <c r="W147" s="326" t="str">
        <f t="shared" si="30"/>
        <v>OK</v>
      </c>
      <c r="X147" s="326" t="str">
        <f t="shared" si="30"/>
        <v>OK</v>
      </c>
      <c r="Y147" s="326" t="str">
        <f t="shared" si="30"/>
        <v>OK</v>
      </c>
      <c r="Z147" s="326" t="str">
        <f t="shared" si="30"/>
        <v>OK</v>
      </c>
      <c r="AA147" s="326" t="str">
        <f t="shared" si="30"/>
        <v>OK</v>
      </c>
      <c r="AB147" s="326" t="str">
        <f t="shared" si="30"/>
        <v>OK</v>
      </c>
      <c r="AC147" s="326" t="str">
        <f t="shared" si="30"/>
        <v>OK</v>
      </c>
      <c r="AD147" s="326" t="str">
        <f t="shared" si="30"/>
        <v>OK</v>
      </c>
      <c r="AE147" s="326" t="str">
        <f t="shared" si="30"/>
        <v>OK</v>
      </c>
      <c r="AF147" s="326" t="str">
        <f t="shared" si="30"/>
        <v>OK</v>
      </c>
      <c r="AG147" s="326" t="str">
        <f t="shared" si="30"/>
        <v>OK</v>
      </c>
      <c r="AH147" s="326" t="str">
        <f t="shared" si="30"/>
        <v>OK</v>
      </c>
      <c r="AI147" s="326" t="str">
        <f t="shared" si="30"/>
        <v>OK</v>
      </c>
      <c r="AJ147" s="326" t="str">
        <f t="shared" si="30"/>
        <v>OK</v>
      </c>
      <c r="AK147" s="326" t="str">
        <f t="shared" si="30"/>
        <v>OK</v>
      </c>
      <c r="AL147" s="327" t="str">
        <f t="shared" si="30"/>
        <v>OK</v>
      </c>
    </row>
    <row r="148" spans="2:38" hidden="1" outlineLevel="2">
      <c r="B148" s="214" t="s">
        <v>521</v>
      </c>
      <c r="C148" s="215" t="s">
        <v>521</v>
      </c>
      <c r="D148" s="333" t="s">
        <v>526</v>
      </c>
      <c r="E148" s="322" t="s">
        <v>202</v>
      </c>
      <c r="F148" s="323" t="s">
        <v>202</v>
      </c>
      <c r="G148" s="323" t="s">
        <v>202</v>
      </c>
      <c r="H148" s="324" t="s">
        <v>202</v>
      </c>
      <c r="I148" s="325" t="str">
        <f>IF(I85&gt;=I86,"OK","BŁĄD")</f>
        <v>OK</v>
      </c>
      <c r="J148" s="326" t="str">
        <f t="shared" ref="J148:AL148" si="31">IF(J85&gt;=J86,"OK","BŁĄD")</f>
        <v>OK</v>
      </c>
      <c r="K148" s="326" t="str">
        <f t="shared" si="31"/>
        <v>OK</v>
      </c>
      <c r="L148" s="326" t="str">
        <f t="shared" si="31"/>
        <v>OK</v>
      </c>
      <c r="M148" s="326" t="str">
        <f t="shared" si="31"/>
        <v>OK</v>
      </c>
      <c r="N148" s="326" t="str">
        <f t="shared" si="31"/>
        <v>OK</v>
      </c>
      <c r="O148" s="326" t="str">
        <f t="shared" si="31"/>
        <v>OK</v>
      </c>
      <c r="P148" s="326" t="str">
        <f t="shared" si="31"/>
        <v>OK</v>
      </c>
      <c r="Q148" s="326" t="str">
        <f t="shared" si="31"/>
        <v>OK</v>
      </c>
      <c r="R148" s="326" t="str">
        <f t="shared" si="31"/>
        <v>OK</v>
      </c>
      <c r="S148" s="326" t="str">
        <f t="shared" si="31"/>
        <v>OK</v>
      </c>
      <c r="T148" s="326" t="str">
        <f t="shared" si="31"/>
        <v>OK</v>
      </c>
      <c r="U148" s="326" t="str">
        <f t="shared" si="31"/>
        <v>OK</v>
      </c>
      <c r="V148" s="326" t="str">
        <f t="shared" si="31"/>
        <v>OK</v>
      </c>
      <c r="W148" s="326" t="str">
        <f t="shared" si="31"/>
        <v>OK</v>
      </c>
      <c r="X148" s="326" t="str">
        <f t="shared" si="31"/>
        <v>OK</v>
      </c>
      <c r="Y148" s="326" t="str">
        <f t="shared" si="31"/>
        <v>OK</v>
      </c>
      <c r="Z148" s="326" t="str">
        <f t="shared" si="31"/>
        <v>OK</v>
      </c>
      <c r="AA148" s="326" t="str">
        <f t="shared" si="31"/>
        <v>OK</v>
      </c>
      <c r="AB148" s="326" t="str">
        <f t="shared" si="31"/>
        <v>OK</v>
      </c>
      <c r="AC148" s="326" t="str">
        <f t="shared" si="31"/>
        <v>OK</v>
      </c>
      <c r="AD148" s="326" t="str">
        <f t="shared" si="31"/>
        <v>OK</v>
      </c>
      <c r="AE148" s="326" t="str">
        <f t="shared" si="31"/>
        <v>OK</v>
      </c>
      <c r="AF148" s="326" t="str">
        <f t="shared" si="31"/>
        <v>OK</v>
      </c>
      <c r="AG148" s="326" t="str">
        <f t="shared" si="31"/>
        <v>OK</v>
      </c>
      <c r="AH148" s="326" t="str">
        <f t="shared" si="31"/>
        <v>OK</v>
      </c>
      <c r="AI148" s="326" t="str">
        <f t="shared" si="31"/>
        <v>OK</v>
      </c>
      <c r="AJ148" s="326" t="str">
        <f t="shared" si="31"/>
        <v>OK</v>
      </c>
      <c r="AK148" s="326" t="str">
        <f t="shared" si="31"/>
        <v>OK</v>
      </c>
      <c r="AL148" s="327" t="str">
        <f t="shared" si="31"/>
        <v>OK</v>
      </c>
    </row>
    <row r="149" spans="2:38" hidden="1" outlineLevel="2">
      <c r="B149" s="214" t="s">
        <v>521</v>
      </c>
      <c r="C149" s="215" t="s">
        <v>521</v>
      </c>
      <c r="D149" s="333" t="s">
        <v>527</v>
      </c>
      <c r="E149" s="322" t="s">
        <v>202</v>
      </c>
      <c r="F149" s="323" t="s">
        <v>202</v>
      </c>
      <c r="G149" s="323" t="s">
        <v>202</v>
      </c>
      <c r="H149" s="324" t="s">
        <v>202</v>
      </c>
      <c r="I149" s="325" t="str">
        <f>IF(I87&gt;=I88,"OK","BŁĄD")</f>
        <v>OK</v>
      </c>
      <c r="J149" s="326" t="str">
        <f t="shared" ref="J149:AL149" si="32">IF(J87&gt;=J88,"OK","BŁĄD")</f>
        <v>OK</v>
      </c>
      <c r="K149" s="326" t="str">
        <f t="shared" si="32"/>
        <v>OK</v>
      </c>
      <c r="L149" s="326" t="str">
        <f t="shared" si="32"/>
        <v>OK</v>
      </c>
      <c r="M149" s="326" t="str">
        <f t="shared" si="32"/>
        <v>OK</v>
      </c>
      <c r="N149" s="326" t="str">
        <f t="shared" si="32"/>
        <v>OK</v>
      </c>
      <c r="O149" s="326" t="str">
        <f t="shared" si="32"/>
        <v>OK</v>
      </c>
      <c r="P149" s="326" t="str">
        <f t="shared" si="32"/>
        <v>OK</v>
      </c>
      <c r="Q149" s="326" t="str">
        <f t="shared" si="32"/>
        <v>OK</v>
      </c>
      <c r="R149" s="326" t="str">
        <f t="shared" si="32"/>
        <v>OK</v>
      </c>
      <c r="S149" s="326" t="str">
        <f t="shared" si="32"/>
        <v>OK</v>
      </c>
      <c r="T149" s="326" t="str">
        <f t="shared" si="32"/>
        <v>OK</v>
      </c>
      <c r="U149" s="326" t="str">
        <f t="shared" si="32"/>
        <v>OK</v>
      </c>
      <c r="V149" s="326" t="str">
        <f t="shared" si="32"/>
        <v>OK</v>
      </c>
      <c r="W149" s="326" t="str">
        <f t="shared" si="32"/>
        <v>OK</v>
      </c>
      <c r="X149" s="326" t="str">
        <f t="shared" si="32"/>
        <v>OK</v>
      </c>
      <c r="Y149" s="326" t="str">
        <f t="shared" si="32"/>
        <v>OK</v>
      </c>
      <c r="Z149" s="326" t="str">
        <f t="shared" si="32"/>
        <v>OK</v>
      </c>
      <c r="AA149" s="326" t="str">
        <f t="shared" si="32"/>
        <v>OK</v>
      </c>
      <c r="AB149" s="326" t="str">
        <f t="shared" si="32"/>
        <v>OK</v>
      </c>
      <c r="AC149" s="326" t="str">
        <f t="shared" si="32"/>
        <v>OK</v>
      </c>
      <c r="AD149" s="326" t="str">
        <f t="shared" si="32"/>
        <v>OK</v>
      </c>
      <c r="AE149" s="326" t="str">
        <f t="shared" si="32"/>
        <v>OK</v>
      </c>
      <c r="AF149" s="326" t="str">
        <f t="shared" si="32"/>
        <v>OK</v>
      </c>
      <c r="AG149" s="326" t="str">
        <f t="shared" si="32"/>
        <v>OK</v>
      </c>
      <c r="AH149" s="326" t="str">
        <f t="shared" si="32"/>
        <v>OK</v>
      </c>
      <c r="AI149" s="326" t="str">
        <f t="shared" si="32"/>
        <v>OK</v>
      </c>
      <c r="AJ149" s="326" t="str">
        <f t="shared" si="32"/>
        <v>OK</v>
      </c>
      <c r="AK149" s="326" t="str">
        <f t="shared" si="32"/>
        <v>OK</v>
      </c>
      <c r="AL149" s="327" t="str">
        <f t="shared" si="32"/>
        <v>OK</v>
      </c>
    </row>
    <row r="150" spans="2:38" hidden="1" outlineLevel="2">
      <c r="B150" s="214" t="s">
        <v>521</v>
      </c>
      <c r="C150" s="215" t="s">
        <v>521</v>
      </c>
      <c r="D150" s="333" t="s">
        <v>528</v>
      </c>
      <c r="E150" s="322" t="s">
        <v>202</v>
      </c>
      <c r="F150" s="323" t="s">
        <v>202</v>
      </c>
      <c r="G150" s="323" t="s">
        <v>202</v>
      </c>
      <c r="H150" s="324" t="s">
        <v>202</v>
      </c>
      <c r="I150" s="325" t="str">
        <f>IF(I89&gt;=I90,"OK","BŁĄD")</f>
        <v>OK</v>
      </c>
      <c r="J150" s="326" t="str">
        <f t="shared" ref="J150:AL150" si="33">IF(J89&gt;=J90,"OK","BŁĄD")</f>
        <v>OK</v>
      </c>
      <c r="K150" s="326" t="str">
        <f t="shared" si="33"/>
        <v>OK</v>
      </c>
      <c r="L150" s="326" t="str">
        <f t="shared" si="33"/>
        <v>OK</v>
      </c>
      <c r="M150" s="326" t="str">
        <f t="shared" si="33"/>
        <v>OK</v>
      </c>
      <c r="N150" s="326" t="str">
        <f t="shared" si="33"/>
        <v>OK</v>
      </c>
      <c r="O150" s="326" t="str">
        <f t="shared" si="33"/>
        <v>OK</v>
      </c>
      <c r="P150" s="326" t="str">
        <f t="shared" si="33"/>
        <v>OK</v>
      </c>
      <c r="Q150" s="326" t="str">
        <f t="shared" si="33"/>
        <v>OK</v>
      </c>
      <c r="R150" s="326" t="str">
        <f t="shared" si="33"/>
        <v>OK</v>
      </c>
      <c r="S150" s="326" t="str">
        <f t="shared" si="33"/>
        <v>OK</v>
      </c>
      <c r="T150" s="326" t="str">
        <f t="shared" si="33"/>
        <v>OK</v>
      </c>
      <c r="U150" s="326" t="str">
        <f t="shared" si="33"/>
        <v>OK</v>
      </c>
      <c r="V150" s="326" t="str">
        <f t="shared" si="33"/>
        <v>OK</v>
      </c>
      <c r="W150" s="326" t="str">
        <f t="shared" si="33"/>
        <v>OK</v>
      </c>
      <c r="X150" s="326" t="str">
        <f t="shared" si="33"/>
        <v>OK</v>
      </c>
      <c r="Y150" s="326" t="str">
        <f t="shared" si="33"/>
        <v>OK</v>
      </c>
      <c r="Z150" s="326" t="str">
        <f t="shared" si="33"/>
        <v>OK</v>
      </c>
      <c r="AA150" s="326" t="str">
        <f t="shared" si="33"/>
        <v>OK</v>
      </c>
      <c r="AB150" s="326" t="str">
        <f t="shared" si="33"/>
        <v>OK</v>
      </c>
      <c r="AC150" s="326" t="str">
        <f t="shared" si="33"/>
        <v>OK</v>
      </c>
      <c r="AD150" s="326" t="str">
        <f t="shared" si="33"/>
        <v>OK</v>
      </c>
      <c r="AE150" s="326" t="str">
        <f t="shared" si="33"/>
        <v>OK</v>
      </c>
      <c r="AF150" s="326" t="str">
        <f t="shared" si="33"/>
        <v>OK</v>
      </c>
      <c r="AG150" s="326" t="str">
        <f t="shared" si="33"/>
        <v>OK</v>
      </c>
      <c r="AH150" s="326" t="str">
        <f t="shared" si="33"/>
        <v>OK</v>
      </c>
      <c r="AI150" s="326" t="str">
        <f t="shared" si="33"/>
        <v>OK</v>
      </c>
      <c r="AJ150" s="326" t="str">
        <f t="shared" si="33"/>
        <v>OK</v>
      </c>
      <c r="AK150" s="326" t="str">
        <f t="shared" si="33"/>
        <v>OK</v>
      </c>
      <c r="AL150" s="327" t="str">
        <f t="shared" si="33"/>
        <v>OK</v>
      </c>
    </row>
    <row r="151" spans="2:38" hidden="1" outlineLevel="2">
      <c r="B151" s="214" t="s">
        <v>529</v>
      </c>
      <c r="C151" s="215" t="s">
        <v>529</v>
      </c>
      <c r="D151" s="333" t="s">
        <v>530</v>
      </c>
      <c r="E151" s="322" t="s">
        <v>202</v>
      </c>
      <c r="F151" s="323" t="s">
        <v>202</v>
      </c>
      <c r="G151" s="323" t="s">
        <v>202</v>
      </c>
      <c r="H151" s="324" t="s">
        <v>202</v>
      </c>
      <c r="I151" s="325" t="str">
        <f t="shared" ref="I151:AL151" si="34">IF(I92&gt;=I94,"OK","BŁĄD")</f>
        <v>OK</v>
      </c>
      <c r="J151" s="326" t="str">
        <f t="shared" si="34"/>
        <v>OK</v>
      </c>
      <c r="K151" s="326" t="str">
        <f t="shared" si="34"/>
        <v>OK</v>
      </c>
      <c r="L151" s="326" t="str">
        <f t="shared" si="34"/>
        <v>OK</v>
      </c>
      <c r="M151" s="326" t="str">
        <f t="shared" si="34"/>
        <v>OK</v>
      </c>
      <c r="N151" s="326" t="str">
        <f t="shared" si="34"/>
        <v>OK</v>
      </c>
      <c r="O151" s="326" t="str">
        <f t="shared" si="34"/>
        <v>OK</v>
      </c>
      <c r="P151" s="326" t="str">
        <f t="shared" si="34"/>
        <v>OK</v>
      </c>
      <c r="Q151" s="326" t="str">
        <f t="shared" si="34"/>
        <v>OK</v>
      </c>
      <c r="R151" s="326" t="str">
        <f t="shared" si="34"/>
        <v>OK</v>
      </c>
      <c r="S151" s="326" t="str">
        <f t="shared" si="34"/>
        <v>OK</v>
      </c>
      <c r="T151" s="326" t="str">
        <f t="shared" si="34"/>
        <v>OK</v>
      </c>
      <c r="U151" s="326" t="str">
        <f t="shared" si="34"/>
        <v>OK</v>
      </c>
      <c r="V151" s="326" t="str">
        <f t="shared" si="34"/>
        <v>OK</v>
      </c>
      <c r="W151" s="326" t="str">
        <f t="shared" si="34"/>
        <v>OK</v>
      </c>
      <c r="X151" s="326" t="str">
        <f t="shared" si="34"/>
        <v>OK</v>
      </c>
      <c r="Y151" s="326" t="str">
        <f t="shared" si="34"/>
        <v>OK</v>
      </c>
      <c r="Z151" s="326" t="str">
        <f t="shared" si="34"/>
        <v>OK</v>
      </c>
      <c r="AA151" s="326" t="str">
        <f t="shared" si="34"/>
        <v>OK</v>
      </c>
      <c r="AB151" s="326" t="str">
        <f t="shared" si="34"/>
        <v>OK</v>
      </c>
      <c r="AC151" s="326" t="str">
        <f t="shared" si="34"/>
        <v>OK</v>
      </c>
      <c r="AD151" s="326" t="str">
        <f t="shared" si="34"/>
        <v>OK</v>
      </c>
      <c r="AE151" s="326" t="str">
        <f t="shared" si="34"/>
        <v>OK</v>
      </c>
      <c r="AF151" s="326" t="str">
        <f t="shared" si="34"/>
        <v>OK</v>
      </c>
      <c r="AG151" s="326" t="str">
        <f t="shared" si="34"/>
        <v>OK</v>
      </c>
      <c r="AH151" s="326" t="str">
        <f t="shared" si="34"/>
        <v>OK</v>
      </c>
      <c r="AI151" s="326" t="str">
        <f t="shared" si="34"/>
        <v>OK</v>
      </c>
      <c r="AJ151" s="326" t="str">
        <f t="shared" si="34"/>
        <v>OK</v>
      </c>
      <c r="AK151" s="326" t="str">
        <f t="shared" si="34"/>
        <v>OK</v>
      </c>
      <c r="AL151" s="327" t="str">
        <f t="shared" si="34"/>
        <v>OK</v>
      </c>
    </row>
    <row r="152" spans="2:38" hidden="1" outlineLevel="2">
      <c r="B152" s="214" t="s">
        <v>531</v>
      </c>
      <c r="C152" s="215" t="s">
        <v>531</v>
      </c>
      <c r="D152" s="333" t="s">
        <v>532</v>
      </c>
      <c r="E152" s="322" t="s">
        <v>202</v>
      </c>
      <c r="F152" s="323" t="s">
        <v>202</v>
      </c>
      <c r="G152" s="323" t="s">
        <v>202</v>
      </c>
      <c r="H152" s="324" t="s">
        <v>202</v>
      </c>
      <c r="I152" s="325" t="str">
        <f t="shared" ref="I152:AL152" si="35">IF(I95&gt;=I21,"OK","BŁĄD")</f>
        <v>OK</v>
      </c>
      <c r="J152" s="326" t="str">
        <f t="shared" si="35"/>
        <v>OK</v>
      </c>
      <c r="K152" s="326" t="str">
        <f t="shared" si="35"/>
        <v>OK</v>
      </c>
      <c r="L152" s="326" t="str">
        <f t="shared" si="35"/>
        <v>OK</v>
      </c>
      <c r="M152" s="326" t="str">
        <f t="shared" si="35"/>
        <v>OK</v>
      </c>
      <c r="N152" s="326" t="str">
        <f t="shared" si="35"/>
        <v>OK</v>
      </c>
      <c r="O152" s="326" t="str">
        <f t="shared" si="35"/>
        <v>OK</v>
      </c>
      <c r="P152" s="326" t="str">
        <f t="shared" si="35"/>
        <v>OK</v>
      </c>
      <c r="Q152" s="326" t="str">
        <f t="shared" si="35"/>
        <v>OK</v>
      </c>
      <c r="R152" s="326" t="str">
        <f t="shared" si="35"/>
        <v>OK</v>
      </c>
      <c r="S152" s="326" t="str">
        <f t="shared" si="35"/>
        <v>OK</v>
      </c>
      <c r="T152" s="326" t="str">
        <f t="shared" si="35"/>
        <v>OK</v>
      </c>
      <c r="U152" s="326" t="str">
        <f t="shared" si="35"/>
        <v>OK</v>
      </c>
      <c r="V152" s="326" t="str">
        <f t="shared" si="35"/>
        <v>OK</v>
      </c>
      <c r="W152" s="326" t="str">
        <f t="shared" si="35"/>
        <v>OK</v>
      </c>
      <c r="X152" s="326" t="str">
        <f t="shared" si="35"/>
        <v>OK</v>
      </c>
      <c r="Y152" s="326" t="str">
        <f t="shared" si="35"/>
        <v>OK</v>
      </c>
      <c r="Z152" s="326" t="str">
        <f t="shared" si="35"/>
        <v>OK</v>
      </c>
      <c r="AA152" s="326" t="str">
        <f t="shared" si="35"/>
        <v>OK</v>
      </c>
      <c r="AB152" s="326" t="str">
        <f t="shared" si="35"/>
        <v>OK</v>
      </c>
      <c r="AC152" s="326" t="str">
        <f t="shared" si="35"/>
        <v>OK</v>
      </c>
      <c r="AD152" s="326" t="str">
        <f t="shared" si="35"/>
        <v>OK</v>
      </c>
      <c r="AE152" s="326" t="str">
        <f t="shared" si="35"/>
        <v>OK</v>
      </c>
      <c r="AF152" s="326" t="str">
        <f t="shared" si="35"/>
        <v>OK</v>
      </c>
      <c r="AG152" s="326" t="str">
        <f t="shared" si="35"/>
        <v>OK</v>
      </c>
      <c r="AH152" s="326" t="str">
        <f t="shared" si="35"/>
        <v>OK</v>
      </c>
      <c r="AI152" s="326" t="str">
        <f t="shared" si="35"/>
        <v>OK</v>
      </c>
      <c r="AJ152" s="326" t="str">
        <f t="shared" si="35"/>
        <v>OK</v>
      </c>
      <c r="AK152" s="326" t="str">
        <f t="shared" si="35"/>
        <v>OK</v>
      </c>
      <c r="AL152" s="327" t="str">
        <f t="shared" si="35"/>
        <v>OK</v>
      </c>
    </row>
    <row r="153" spans="2:38" hidden="1" outlineLevel="2">
      <c r="B153" s="214" t="s">
        <v>533</v>
      </c>
      <c r="C153" s="215" t="s">
        <v>533</v>
      </c>
      <c r="D153" s="333" t="s">
        <v>534</v>
      </c>
      <c r="E153" s="322" t="s">
        <v>202</v>
      </c>
      <c r="F153" s="323" t="s">
        <v>202</v>
      </c>
      <c r="G153" s="323" t="s">
        <v>202</v>
      </c>
      <c r="H153" s="324" t="s">
        <v>202</v>
      </c>
      <c r="I153" s="325" t="str">
        <f t="shared" ref="I153:AL153" si="36">IF(I102&gt;=(I103+I104+I105),"OK","BŁĄD")</f>
        <v>OK</v>
      </c>
      <c r="J153" s="326" t="str">
        <f t="shared" si="36"/>
        <v>OK</v>
      </c>
      <c r="K153" s="326" t="str">
        <f t="shared" si="36"/>
        <v>OK</v>
      </c>
      <c r="L153" s="326" t="str">
        <f t="shared" si="36"/>
        <v>OK</v>
      </c>
      <c r="M153" s="326" t="str">
        <f t="shared" si="36"/>
        <v>OK</v>
      </c>
      <c r="N153" s="326" t="str">
        <f t="shared" si="36"/>
        <v>OK</v>
      </c>
      <c r="O153" s="326" t="str">
        <f t="shared" si="36"/>
        <v>OK</v>
      </c>
      <c r="P153" s="326" t="str">
        <f t="shared" si="36"/>
        <v>OK</v>
      </c>
      <c r="Q153" s="326" t="str">
        <f t="shared" si="36"/>
        <v>OK</v>
      </c>
      <c r="R153" s="326" t="str">
        <f t="shared" si="36"/>
        <v>OK</v>
      </c>
      <c r="S153" s="326" t="str">
        <f t="shared" si="36"/>
        <v>OK</v>
      </c>
      <c r="T153" s="326" t="str">
        <f t="shared" si="36"/>
        <v>OK</v>
      </c>
      <c r="U153" s="326" t="str">
        <f t="shared" si="36"/>
        <v>OK</v>
      </c>
      <c r="V153" s="326" t="str">
        <f t="shared" si="36"/>
        <v>OK</v>
      </c>
      <c r="W153" s="326" t="str">
        <f t="shared" si="36"/>
        <v>OK</v>
      </c>
      <c r="X153" s="326" t="str">
        <f t="shared" si="36"/>
        <v>OK</v>
      </c>
      <c r="Y153" s="326" t="str">
        <f t="shared" si="36"/>
        <v>OK</v>
      </c>
      <c r="Z153" s="326" t="str">
        <f t="shared" si="36"/>
        <v>OK</v>
      </c>
      <c r="AA153" s="326" t="str">
        <f t="shared" si="36"/>
        <v>OK</v>
      </c>
      <c r="AB153" s="326" t="str">
        <f t="shared" si="36"/>
        <v>OK</v>
      </c>
      <c r="AC153" s="326" t="str">
        <f t="shared" si="36"/>
        <v>OK</v>
      </c>
      <c r="AD153" s="326" t="str">
        <f t="shared" si="36"/>
        <v>OK</v>
      </c>
      <c r="AE153" s="326" t="str">
        <f t="shared" si="36"/>
        <v>OK</v>
      </c>
      <c r="AF153" s="326" t="str">
        <f t="shared" si="36"/>
        <v>OK</v>
      </c>
      <c r="AG153" s="326" t="str">
        <f t="shared" si="36"/>
        <v>OK</v>
      </c>
      <c r="AH153" s="326" t="str">
        <f t="shared" si="36"/>
        <v>OK</v>
      </c>
      <c r="AI153" s="326" t="str">
        <f t="shared" si="36"/>
        <v>OK</v>
      </c>
      <c r="AJ153" s="326" t="str">
        <f t="shared" si="36"/>
        <v>OK</v>
      </c>
      <c r="AK153" s="326" t="str">
        <f t="shared" si="36"/>
        <v>OK</v>
      </c>
      <c r="AL153" s="327" t="str">
        <f t="shared" si="36"/>
        <v>OK</v>
      </c>
    </row>
    <row r="154" spans="2:38" hidden="1" outlineLevel="2">
      <c r="B154" s="214" t="s">
        <v>529</v>
      </c>
      <c r="C154" s="215" t="s">
        <v>529</v>
      </c>
      <c r="D154" s="333" t="s">
        <v>535</v>
      </c>
      <c r="E154" s="322" t="s">
        <v>202</v>
      </c>
      <c r="F154" s="323" t="s">
        <v>202</v>
      </c>
      <c r="G154" s="323" t="s">
        <v>202</v>
      </c>
      <c r="H154" s="324" t="s">
        <v>202</v>
      </c>
      <c r="I154" s="325" t="str">
        <f>IF(I108&gt;=I109,"OK","BŁĄD")</f>
        <v>OK</v>
      </c>
      <c r="J154" s="326" t="str">
        <f t="shared" ref="J154:AL154" si="37">IF(J108&gt;=J109,"OK","BŁĄD")</f>
        <v>OK</v>
      </c>
      <c r="K154" s="326" t="str">
        <f t="shared" si="37"/>
        <v>OK</v>
      </c>
      <c r="L154" s="326" t="str">
        <f t="shared" si="37"/>
        <v>OK</v>
      </c>
      <c r="M154" s="326" t="str">
        <f t="shared" si="37"/>
        <v>OK</v>
      </c>
      <c r="N154" s="326" t="str">
        <f t="shared" si="37"/>
        <v>OK</v>
      </c>
      <c r="O154" s="326" t="str">
        <f t="shared" si="37"/>
        <v>OK</v>
      </c>
      <c r="P154" s="326" t="str">
        <f t="shared" si="37"/>
        <v>OK</v>
      </c>
      <c r="Q154" s="326" t="str">
        <f t="shared" si="37"/>
        <v>OK</v>
      </c>
      <c r="R154" s="326" t="str">
        <f t="shared" si="37"/>
        <v>OK</v>
      </c>
      <c r="S154" s="326" t="str">
        <f t="shared" si="37"/>
        <v>OK</v>
      </c>
      <c r="T154" s="326" t="str">
        <f t="shared" si="37"/>
        <v>OK</v>
      </c>
      <c r="U154" s="326" t="str">
        <f t="shared" si="37"/>
        <v>OK</v>
      </c>
      <c r="V154" s="326" t="str">
        <f t="shared" si="37"/>
        <v>OK</v>
      </c>
      <c r="W154" s="326" t="str">
        <f t="shared" si="37"/>
        <v>OK</v>
      </c>
      <c r="X154" s="326" t="str">
        <f t="shared" si="37"/>
        <v>OK</v>
      </c>
      <c r="Y154" s="326" t="str">
        <f t="shared" si="37"/>
        <v>OK</v>
      </c>
      <c r="Z154" s="326" t="str">
        <f t="shared" si="37"/>
        <v>OK</v>
      </c>
      <c r="AA154" s="326" t="str">
        <f t="shared" si="37"/>
        <v>OK</v>
      </c>
      <c r="AB154" s="326" t="str">
        <f t="shared" si="37"/>
        <v>OK</v>
      </c>
      <c r="AC154" s="326" t="str">
        <f t="shared" si="37"/>
        <v>OK</v>
      </c>
      <c r="AD154" s="326" t="str">
        <f t="shared" si="37"/>
        <v>OK</v>
      </c>
      <c r="AE154" s="326" t="str">
        <f t="shared" si="37"/>
        <v>OK</v>
      </c>
      <c r="AF154" s="326" t="str">
        <f t="shared" si="37"/>
        <v>OK</v>
      </c>
      <c r="AG154" s="326" t="str">
        <f t="shared" si="37"/>
        <v>OK</v>
      </c>
      <c r="AH154" s="326" t="str">
        <f t="shared" si="37"/>
        <v>OK</v>
      </c>
      <c r="AI154" s="326" t="str">
        <f t="shared" si="37"/>
        <v>OK</v>
      </c>
      <c r="AJ154" s="326" t="str">
        <f t="shared" si="37"/>
        <v>OK</v>
      </c>
      <c r="AK154" s="326" t="str">
        <f t="shared" si="37"/>
        <v>OK</v>
      </c>
      <c r="AL154" s="327" t="str">
        <f t="shared" si="37"/>
        <v>OK</v>
      </c>
    </row>
    <row r="155" spans="2:38" hidden="1" outlineLevel="2">
      <c r="B155" s="214" t="s">
        <v>536</v>
      </c>
      <c r="C155" s="215" t="s">
        <v>536</v>
      </c>
      <c r="D155" s="333" t="s">
        <v>537</v>
      </c>
      <c r="E155" s="322" t="s">
        <v>202</v>
      </c>
      <c r="F155" s="323" t="s">
        <v>202</v>
      </c>
      <c r="G155" s="323" t="s">
        <v>202</v>
      </c>
      <c r="H155" s="324" t="s">
        <v>202</v>
      </c>
      <c r="I155" s="325" t="str">
        <f t="shared" ref="I155:AL155" si="38">IF(I19&gt;=I20,"OK","BŁĄD")</f>
        <v>OK</v>
      </c>
      <c r="J155" s="326" t="str">
        <f t="shared" si="38"/>
        <v>OK</v>
      </c>
      <c r="K155" s="326" t="str">
        <f t="shared" si="38"/>
        <v>OK</v>
      </c>
      <c r="L155" s="326" t="str">
        <f t="shared" si="38"/>
        <v>OK</v>
      </c>
      <c r="M155" s="326" t="str">
        <f t="shared" si="38"/>
        <v>OK</v>
      </c>
      <c r="N155" s="326" t="str">
        <f t="shared" si="38"/>
        <v>OK</v>
      </c>
      <c r="O155" s="326" t="str">
        <f t="shared" si="38"/>
        <v>OK</v>
      </c>
      <c r="P155" s="326" t="str">
        <f t="shared" si="38"/>
        <v>OK</v>
      </c>
      <c r="Q155" s="326" t="str">
        <f t="shared" si="38"/>
        <v>OK</v>
      </c>
      <c r="R155" s="326" t="str">
        <f t="shared" si="38"/>
        <v>OK</v>
      </c>
      <c r="S155" s="326" t="str">
        <f t="shared" si="38"/>
        <v>OK</v>
      </c>
      <c r="T155" s="326" t="str">
        <f t="shared" si="38"/>
        <v>OK</v>
      </c>
      <c r="U155" s="326" t="str">
        <f t="shared" si="38"/>
        <v>OK</v>
      </c>
      <c r="V155" s="326" t="str">
        <f t="shared" si="38"/>
        <v>OK</v>
      </c>
      <c r="W155" s="326" t="str">
        <f t="shared" si="38"/>
        <v>OK</v>
      </c>
      <c r="X155" s="326" t="str">
        <f t="shared" si="38"/>
        <v>OK</v>
      </c>
      <c r="Y155" s="326" t="str">
        <f t="shared" si="38"/>
        <v>OK</v>
      </c>
      <c r="Z155" s="326" t="str">
        <f t="shared" si="38"/>
        <v>OK</v>
      </c>
      <c r="AA155" s="326" t="str">
        <f t="shared" si="38"/>
        <v>OK</v>
      </c>
      <c r="AB155" s="326" t="str">
        <f t="shared" si="38"/>
        <v>OK</v>
      </c>
      <c r="AC155" s="326" t="str">
        <f t="shared" si="38"/>
        <v>OK</v>
      </c>
      <c r="AD155" s="326" t="str">
        <f t="shared" si="38"/>
        <v>OK</v>
      </c>
      <c r="AE155" s="326" t="str">
        <f t="shared" si="38"/>
        <v>OK</v>
      </c>
      <c r="AF155" s="326" t="str">
        <f t="shared" si="38"/>
        <v>OK</v>
      </c>
      <c r="AG155" s="326" t="str">
        <f t="shared" si="38"/>
        <v>OK</v>
      </c>
      <c r="AH155" s="326" t="str">
        <f t="shared" si="38"/>
        <v>OK</v>
      </c>
      <c r="AI155" s="326" t="str">
        <f t="shared" si="38"/>
        <v>OK</v>
      </c>
      <c r="AJ155" s="326" t="str">
        <f t="shared" si="38"/>
        <v>OK</v>
      </c>
      <c r="AK155" s="326" t="str">
        <f t="shared" si="38"/>
        <v>OK</v>
      </c>
      <c r="AL155" s="327" t="str">
        <f t="shared" si="38"/>
        <v>OK</v>
      </c>
    </row>
    <row r="156" spans="2:38" hidden="1" outlineLevel="2">
      <c r="B156" s="214" t="s">
        <v>538</v>
      </c>
      <c r="C156" s="215" t="s">
        <v>538</v>
      </c>
      <c r="D156" s="333" t="s">
        <v>539</v>
      </c>
      <c r="E156" s="322" t="s">
        <v>202</v>
      </c>
      <c r="F156" s="323" t="s">
        <v>202</v>
      </c>
      <c r="G156" s="323" t="s">
        <v>202</v>
      </c>
      <c r="H156" s="324" t="s">
        <v>202</v>
      </c>
      <c r="I156" s="325" t="str">
        <f t="shared" ref="I156:AL156" si="39">IF(I19&gt;=I105,"OK","BŁĄD")</f>
        <v>OK</v>
      </c>
      <c r="J156" s="326" t="str">
        <f t="shared" si="39"/>
        <v>OK</v>
      </c>
      <c r="K156" s="326" t="str">
        <f t="shared" si="39"/>
        <v>OK</v>
      </c>
      <c r="L156" s="326" t="str">
        <f t="shared" si="39"/>
        <v>OK</v>
      </c>
      <c r="M156" s="326" t="str">
        <f t="shared" si="39"/>
        <v>OK</v>
      </c>
      <c r="N156" s="326" t="str">
        <f t="shared" si="39"/>
        <v>OK</v>
      </c>
      <c r="O156" s="326" t="str">
        <f t="shared" si="39"/>
        <v>OK</v>
      </c>
      <c r="P156" s="326" t="str">
        <f t="shared" si="39"/>
        <v>OK</v>
      </c>
      <c r="Q156" s="326" t="str">
        <f t="shared" si="39"/>
        <v>OK</v>
      </c>
      <c r="R156" s="326" t="str">
        <f t="shared" si="39"/>
        <v>OK</v>
      </c>
      <c r="S156" s="326" t="str">
        <f t="shared" si="39"/>
        <v>OK</v>
      </c>
      <c r="T156" s="326" t="str">
        <f t="shared" si="39"/>
        <v>OK</v>
      </c>
      <c r="U156" s="326" t="str">
        <f t="shared" si="39"/>
        <v>OK</v>
      </c>
      <c r="V156" s="326" t="str">
        <f t="shared" si="39"/>
        <v>OK</v>
      </c>
      <c r="W156" s="326" t="str">
        <f t="shared" si="39"/>
        <v>OK</v>
      </c>
      <c r="X156" s="326" t="str">
        <f t="shared" si="39"/>
        <v>OK</v>
      </c>
      <c r="Y156" s="326" t="str">
        <f t="shared" si="39"/>
        <v>OK</v>
      </c>
      <c r="Z156" s="326" t="str">
        <f t="shared" si="39"/>
        <v>OK</v>
      </c>
      <c r="AA156" s="326" t="str">
        <f t="shared" si="39"/>
        <v>OK</v>
      </c>
      <c r="AB156" s="326" t="str">
        <f t="shared" si="39"/>
        <v>OK</v>
      </c>
      <c r="AC156" s="326" t="str">
        <f t="shared" si="39"/>
        <v>OK</v>
      </c>
      <c r="AD156" s="326" t="str">
        <f t="shared" si="39"/>
        <v>OK</v>
      </c>
      <c r="AE156" s="326" t="str">
        <f t="shared" si="39"/>
        <v>OK</v>
      </c>
      <c r="AF156" s="326" t="str">
        <f t="shared" si="39"/>
        <v>OK</v>
      </c>
      <c r="AG156" s="326" t="str">
        <f t="shared" si="39"/>
        <v>OK</v>
      </c>
      <c r="AH156" s="326" t="str">
        <f t="shared" si="39"/>
        <v>OK</v>
      </c>
      <c r="AI156" s="326" t="str">
        <f t="shared" si="39"/>
        <v>OK</v>
      </c>
      <c r="AJ156" s="326" t="str">
        <f t="shared" si="39"/>
        <v>OK</v>
      </c>
      <c r="AK156" s="326" t="str">
        <f t="shared" si="39"/>
        <v>OK</v>
      </c>
      <c r="AL156" s="327" t="str">
        <f t="shared" si="39"/>
        <v>OK</v>
      </c>
    </row>
    <row r="157" spans="2:38" hidden="1" outlineLevel="2">
      <c r="B157" s="214" t="s">
        <v>540</v>
      </c>
      <c r="C157" s="215" t="s">
        <v>540</v>
      </c>
      <c r="D157" s="333" t="s">
        <v>541</v>
      </c>
      <c r="E157" s="322" t="s">
        <v>202</v>
      </c>
      <c r="F157" s="323" t="s">
        <v>202</v>
      </c>
      <c r="G157" s="323" t="s">
        <v>202</v>
      </c>
      <c r="H157" s="324" t="s">
        <v>202</v>
      </c>
      <c r="I157" s="325" t="str">
        <f t="shared" ref="I157:AL158" si="40">IF(I22&gt;=I23,"OK","BŁĄD")</f>
        <v>OK</v>
      </c>
      <c r="J157" s="326" t="str">
        <f t="shared" si="40"/>
        <v>OK</v>
      </c>
      <c r="K157" s="326" t="str">
        <f t="shared" si="40"/>
        <v>OK</v>
      </c>
      <c r="L157" s="326" t="str">
        <f t="shared" si="40"/>
        <v>OK</v>
      </c>
      <c r="M157" s="326" t="str">
        <f t="shared" si="40"/>
        <v>OK</v>
      </c>
      <c r="N157" s="326" t="str">
        <f t="shared" si="40"/>
        <v>OK</v>
      </c>
      <c r="O157" s="326" t="str">
        <f t="shared" si="40"/>
        <v>OK</v>
      </c>
      <c r="P157" s="326" t="str">
        <f t="shared" si="40"/>
        <v>OK</v>
      </c>
      <c r="Q157" s="326" t="str">
        <f t="shared" si="40"/>
        <v>OK</v>
      </c>
      <c r="R157" s="326" t="str">
        <f t="shared" si="40"/>
        <v>OK</v>
      </c>
      <c r="S157" s="326" t="str">
        <f t="shared" si="40"/>
        <v>OK</v>
      </c>
      <c r="T157" s="326" t="str">
        <f t="shared" si="40"/>
        <v>OK</v>
      </c>
      <c r="U157" s="326" t="str">
        <f t="shared" si="40"/>
        <v>OK</v>
      </c>
      <c r="V157" s="326" t="str">
        <f t="shared" si="40"/>
        <v>OK</v>
      </c>
      <c r="W157" s="326" t="str">
        <f t="shared" si="40"/>
        <v>OK</v>
      </c>
      <c r="X157" s="326" t="str">
        <f t="shared" si="40"/>
        <v>OK</v>
      </c>
      <c r="Y157" s="326" t="str">
        <f t="shared" si="40"/>
        <v>OK</v>
      </c>
      <c r="Z157" s="326" t="str">
        <f t="shared" si="40"/>
        <v>OK</v>
      </c>
      <c r="AA157" s="326" t="str">
        <f t="shared" si="40"/>
        <v>OK</v>
      </c>
      <c r="AB157" s="326" t="str">
        <f t="shared" si="40"/>
        <v>OK</v>
      </c>
      <c r="AC157" s="326" t="str">
        <f t="shared" si="40"/>
        <v>OK</v>
      </c>
      <c r="AD157" s="326" t="str">
        <f t="shared" si="40"/>
        <v>OK</v>
      </c>
      <c r="AE157" s="326" t="str">
        <f t="shared" si="40"/>
        <v>OK</v>
      </c>
      <c r="AF157" s="326" t="str">
        <f t="shared" si="40"/>
        <v>OK</v>
      </c>
      <c r="AG157" s="326" t="str">
        <f t="shared" si="40"/>
        <v>OK</v>
      </c>
      <c r="AH157" s="326" t="str">
        <f t="shared" si="40"/>
        <v>OK</v>
      </c>
      <c r="AI157" s="326" t="str">
        <f t="shared" si="40"/>
        <v>OK</v>
      </c>
      <c r="AJ157" s="326" t="str">
        <f t="shared" si="40"/>
        <v>OK</v>
      </c>
      <c r="AK157" s="326" t="str">
        <f t="shared" si="40"/>
        <v>OK</v>
      </c>
      <c r="AL157" s="327" t="str">
        <f t="shared" si="40"/>
        <v>OK</v>
      </c>
    </row>
    <row r="158" spans="2:38" hidden="1" outlineLevel="2">
      <c r="B158" s="214" t="s">
        <v>540</v>
      </c>
      <c r="C158" s="215" t="s">
        <v>540</v>
      </c>
      <c r="D158" s="333" t="s">
        <v>542</v>
      </c>
      <c r="E158" s="322" t="s">
        <v>202</v>
      </c>
      <c r="F158" s="323" t="s">
        <v>202</v>
      </c>
      <c r="G158" s="323" t="s">
        <v>202</v>
      </c>
      <c r="H158" s="324" t="s">
        <v>202</v>
      </c>
      <c r="I158" s="325" t="str">
        <f>IF(I23&gt;=(I24+I25),"OK","BŁĄD")</f>
        <v>OK</v>
      </c>
      <c r="J158" s="326" t="str">
        <f t="shared" si="40"/>
        <v>OK</v>
      </c>
      <c r="K158" s="326" t="str">
        <f t="shared" si="40"/>
        <v>OK</v>
      </c>
      <c r="L158" s="326" t="str">
        <f t="shared" si="40"/>
        <v>OK</v>
      </c>
      <c r="M158" s="326" t="str">
        <f t="shared" si="40"/>
        <v>OK</v>
      </c>
      <c r="N158" s="326" t="str">
        <f t="shared" si="40"/>
        <v>OK</v>
      </c>
      <c r="O158" s="326" t="str">
        <f t="shared" si="40"/>
        <v>OK</v>
      </c>
      <c r="P158" s="326" t="str">
        <f t="shared" si="40"/>
        <v>OK</v>
      </c>
      <c r="Q158" s="326" t="str">
        <f t="shared" si="40"/>
        <v>OK</v>
      </c>
      <c r="R158" s="326" t="str">
        <f t="shared" si="40"/>
        <v>OK</v>
      </c>
      <c r="S158" s="326" t="str">
        <f t="shared" si="40"/>
        <v>OK</v>
      </c>
      <c r="T158" s="326" t="str">
        <f t="shared" si="40"/>
        <v>OK</v>
      </c>
      <c r="U158" s="326" t="str">
        <f t="shared" si="40"/>
        <v>OK</v>
      </c>
      <c r="V158" s="326" t="str">
        <f t="shared" si="40"/>
        <v>OK</v>
      </c>
      <c r="W158" s="326" t="str">
        <f t="shared" si="40"/>
        <v>OK</v>
      </c>
      <c r="X158" s="326" t="str">
        <f t="shared" si="40"/>
        <v>OK</v>
      </c>
      <c r="Y158" s="326" t="str">
        <f t="shared" si="40"/>
        <v>OK</v>
      </c>
      <c r="Z158" s="326" t="str">
        <f t="shared" si="40"/>
        <v>OK</v>
      </c>
      <c r="AA158" s="326" t="str">
        <f t="shared" si="40"/>
        <v>OK</v>
      </c>
      <c r="AB158" s="326" t="str">
        <f t="shared" si="40"/>
        <v>OK</v>
      </c>
      <c r="AC158" s="326" t="str">
        <f t="shared" si="40"/>
        <v>OK</v>
      </c>
      <c r="AD158" s="326" t="str">
        <f t="shared" si="40"/>
        <v>OK</v>
      </c>
      <c r="AE158" s="326" t="str">
        <f t="shared" si="40"/>
        <v>OK</v>
      </c>
      <c r="AF158" s="326" t="str">
        <f t="shared" si="40"/>
        <v>OK</v>
      </c>
      <c r="AG158" s="326" t="str">
        <f t="shared" si="40"/>
        <v>OK</v>
      </c>
      <c r="AH158" s="326" t="str">
        <f t="shared" si="40"/>
        <v>OK</v>
      </c>
      <c r="AI158" s="326" t="str">
        <f t="shared" si="40"/>
        <v>OK</v>
      </c>
      <c r="AJ158" s="326" t="str">
        <f t="shared" si="40"/>
        <v>OK</v>
      </c>
      <c r="AK158" s="326" t="str">
        <f t="shared" si="40"/>
        <v>OK</v>
      </c>
      <c r="AL158" s="327" t="str">
        <f t="shared" si="40"/>
        <v>OK</v>
      </c>
    </row>
    <row r="159" spans="2:38" hidden="1" outlineLevel="2">
      <c r="B159" s="214" t="s">
        <v>543</v>
      </c>
      <c r="C159" s="215" t="s">
        <v>543</v>
      </c>
      <c r="D159" s="333" t="s">
        <v>544</v>
      </c>
      <c r="E159" s="322" t="s">
        <v>202</v>
      </c>
      <c r="F159" s="323" t="s">
        <v>202</v>
      </c>
      <c r="G159" s="323" t="s">
        <v>202</v>
      </c>
      <c r="H159" s="324" t="s">
        <v>202</v>
      </c>
      <c r="I159" s="325" t="str">
        <f t="shared" ref="I159:AL159" si="41">IF(I18&gt;=(I19+I21+I22),"OK","BŁĄD")</f>
        <v>OK</v>
      </c>
      <c r="J159" s="326" t="str">
        <f t="shared" si="41"/>
        <v>OK</v>
      </c>
      <c r="K159" s="326" t="str">
        <f t="shared" si="41"/>
        <v>OK</v>
      </c>
      <c r="L159" s="326" t="str">
        <f t="shared" si="41"/>
        <v>OK</v>
      </c>
      <c r="M159" s="326" t="str">
        <f t="shared" si="41"/>
        <v>OK</v>
      </c>
      <c r="N159" s="326" t="str">
        <f t="shared" si="41"/>
        <v>OK</v>
      </c>
      <c r="O159" s="326" t="str">
        <f t="shared" si="41"/>
        <v>OK</v>
      </c>
      <c r="P159" s="326" t="str">
        <f t="shared" si="41"/>
        <v>OK</v>
      </c>
      <c r="Q159" s="326" t="str">
        <f t="shared" si="41"/>
        <v>OK</v>
      </c>
      <c r="R159" s="326" t="str">
        <f t="shared" si="41"/>
        <v>OK</v>
      </c>
      <c r="S159" s="326" t="str">
        <f t="shared" si="41"/>
        <v>OK</v>
      </c>
      <c r="T159" s="326" t="str">
        <f t="shared" si="41"/>
        <v>OK</v>
      </c>
      <c r="U159" s="326" t="str">
        <f t="shared" si="41"/>
        <v>OK</v>
      </c>
      <c r="V159" s="326" t="str">
        <f t="shared" si="41"/>
        <v>OK</v>
      </c>
      <c r="W159" s="326" t="str">
        <f t="shared" si="41"/>
        <v>OK</v>
      </c>
      <c r="X159" s="326" t="str">
        <f t="shared" si="41"/>
        <v>OK</v>
      </c>
      <c r="Y159" s="326" t="str">
        <f t="shared" si="41"/>
        <v>OK</v>
      </c>
      <c r="Z159" s="326" t="str">
        <f t="shared" si="41"/>
        <v>OK</v>
      </c>
      <c r="AA159" s="326" t="str">
        <f t="shared" si="41"/>
        <v>OK</v>
      </c>
      <c r="AB159" s="326" t="str">
        <f t="shared" si="41"/>
        <v>OK</v>
      </c>
      <c r="AC159" s="326" t="str">
        <f t="shared" si="41"/>
        <v>OK</v>
      </c>
      <c r="AD159" s="326" t="str">
        <f t="shared" si="41"/>
        <v>OK</v>
      </c>
      <c r="AE159" s="326" t="str">
        <f t="shared" si="41"/>
        <v>OK</v>
      </c>
      <c r="AF159" s="326" t="str">
        <f t="shared" si="41"/>
        <v>OK</v>
      </c>
      <c r="AG159" s="326" t="str">
        <f t="shared" si="41"/>
        <v>OK</v>
      </c>
      <c r="AH159" s="326" t="str">
        <f t="shared" si="41"/>
        <v>OK</v>
      </c>
      <c r="AI159" s="326" t="str">
        <f t="shared" si="41"/>
        <v>OK</v>
      </c>
      <c r="AJ159" s="326" t="str">
        <f t="shared" si="41"/>
        <v>OK</v>
      </c>
      <c r="AK159" s="326" t="str">
        <f t="shared" si="41"/>
        <v>OK</v>
      </c>
      <c r="AL159" s="327" t="str">
        <f t="shared" si="41"/>
        <v>OK</v>
      </c>
    </row>
    <row r="160" spans="2:38" hidden="1" outlineLevel="2">
      <c r="B160" s="214" t="s">
        <v>545</v>
      </c>
      <c r="C160" s="215" t="s">
        <v>545</v>
      </c>
      <c r="D160" s="333" t="s">
        <v>546</v>
      </c>
      <c r="E160" s="322" t="s">
        <v>202</v>
      </c>
      <c r="F160" s="323" t="s">
        <v>202</v>
      </c>
      <c r="G160" s="323" t="s">
        <v>202</v>
      </c>
      <c r="H160" s="324" t="s">
        <v>202</v>
      </c>
      <c r="I160" s="325" t="str">
        <f t="shared" ref="I160:AL160" si="42">IF(I18&gt;=I62,"OK","BŁĄD")</f>
        <v>OK</v>
      </c>
      <c r="J160" s="326" t="str">
        <f t="shared" si="42"/>
        <v>OK</v>
      </c>
      <c r="K160" s="326" t="str">
        <f t="shared" si="42"/>
        <v>OK</v>
      </c>
      <c r="L160" s="326" t="str">
        <f t="shared" si="42"/>
        <v>OK</v>
      </c>
      <c r="M160" s="326" t="str">
        <f t="shared" si="42"/>
        <v>OK</v>
      </c>
      <c r="N160" s="326" t="str">
        <f t="shared" si="42"/>
        <v>OK</v>
      </c>
      <c r="O160" s="326" t="str">
        <f t="shared" si="42"/>
        <v>OK</v>
      </c>
      <c r="P160" s="326" t="str">
        <f t="shared" si="42"/>
        <v>OK</v>
      </c>
      <c r="Q160" s="326" t="str">
        <f t="shared" si="42"/>
        <v>OK</v>
      </c>
      <c r="R160" s="326" t="str">
        <f t="shared" si="42"/>
        <v>OK</v>
      </c>
      <c r="S160" s="326" t="str">
        <f t="shared" si="42"/>
        <v>OK</v>
      </c>
      <c r="T160" s="326" t="str">
        <f t="shared" si="42"/>
        <v>OK</v>
      </c>
      <c r="U160" s="326" t="str">
        <f t="shared" si="42"/>
        <v>OK</v>
      </c>
      <c r="V160" s="326" t="str">
        <f t="shared" si="42"/>
        <v>OK</v>
      </c>
      <c r="W160" s="326" t="str">
        <f t="shared" si="42"/>
        <v>OK</v>
      </c>
      <c r="X160" s="326" t="str">
        <f t="shared" si="42"/>
        <v>OK</v>
      </c>
      <c r="Y160" s="326" t="str">
        <f t="shared" si="42"/>
        <v>OK</v>
      </c>
      <c r="Z160" s="326" t="str">
        <f t="shared" si="42"/>
        <v>OK</v>
      </c>
      <c r="AA160" s="326" t="str">
        <f t="shared" si="42"/>
        <v>OK</v>
      </c>
      <c r="AB160" s="326" t="str">
        <f t="shared" si="42"/>
        <v>OK</v>
      </c>
      <c r="AC160" s="326" t="str">
        <f t="shared" si="42"/>
        <v>OK</v>
      </c>
      <c r="AD160" s="326" t="str">
        <f t="shared" si="42"/>
        <v>OK</v>
      </c>
      <c r="AE160" s="326" t="str">
        <f t="shared" si="42"/>
        <v>OK</v>
      </c>
      <c r="AF160" s="326" t="str">
        <f t="shared" si="42"/>
        <v>OK</v>
      </c>
      <c r="AG160" s="326" t="str">
        <f t="shared" si="42"/>
        <v>OK</v>
      </c>
      <c r="AH160" s="326" t="str">
        <f t="shared" si="42"/>
        <v>OK</v>
      </c>
      <c r="AI160" s="326" t="str">
        <f t="shared" si="42"/>
        <v>OK</v>
      </c>
      <c r="AJ160" s="326" t="str">
        <f t="shared" si="42"/>
        <v>OK</v>
      </c>
      <c r="AK160" s="326" t="str">
        <f t="shared" si="42"/>
        <v>OK</v>
      </c>
      <c r="AL160" s="327" t="str">
        <f t="shared" si="42"/>
        <v>OK</v>
      </c>
    </row>
    <row r="161" spans="2:38" hidden="1" outlineLevel="2">
      <c r="B161" s="214" t="s">
        <v>547</v>
      </c>
      <c r="C161" s="215" t="s">
        <v>547</v>
      </c>
      <c r="D161" s="333" t="s">
        <v>548</v>
      </c>
      <c r="E161" s="322" t="s">
        <v>202</v>
      </c>
      <c r="F161" s="323" t="s">
        <v>202</v>
      </c>
      <c r="G161" s="323" t="s">
        <v>202</v>
      </c>
      <c r="H161" s="324" t="s">
        <v>202</v>
      </c>
      <c r="I161" s="325" t="str">
        <f t="shared" ref="I161:AL161" si="43">IF(I18&gt;=I65,"OK","BŁĄD")</f>
        <v>OK</v>
      </c>
      <c r="J161" s="326" t="str">
        <f t="shared" si="43"/>
        <v>OK</v>
      </c>
      <c r="K161" s="326" t="str">
        <f t="shared" si="43"/>
        <v>OK</v>
      </c>
      <c r="L161" s="326" t="str">
        <f t="shared" si="43"/>
        <v>OK</v>
      </c>
      <c r="M161" s="326" t="str">
        <f t="shared" si="43"/>
        <v>OK</v>
      </c>
      <c r="N161" s="326" t="str">
        <f t="shared" si="43"/>
        <v>OK</v>
      </c>
      <c r="O161" s="326" t="str">
        <f t="shared" si="43"/>
        <v>OK</v>
      </c>
      <c r="P161" s="326" t="str">
        <f t="shared" si="43"/>
        <v>OK</v>
      </c>
      <c r="Q161" s="326" t="str">
        <f t="shared" si="43"/>
        <v>OK</v>
      </c>
      <c r="R161" s="326" t="str">
        <f t="shared" si="43"/>
        <v>OK</v>
      </c>
      <c r="S161" s="326" t="str">
        <f t="shared" si="43"/>
        <v>OK</v>
      </c>
      <c r="T161" s="326" t="str">
        <f t="shared" si="43"/>
        <v>OK</v>
      </c>
      <c r="U161" s="326" t="str">
        <f t="shared" si="43"/>
        <v>OK</v>
      </c>
      <c r="V161" s="326" t="str">
        <f t="shared" si="43"/>
        <v>OK</v>
      </c>
      <c r="W161" s="326" t="str">
        <f t="shared" si="43"/>
        <v>OK</v>
      </c>
      <c r="X161" s="326" t="str">
        <f t="shared" si="43"/>
        <v>OK</v>
      </c>
      <c r="Y161" s="326" t="str">
        <f t="shared" si="43"/>
        <v>OK</v>
      </c>
      <c r="Z161" s="326" t="str">
        <f t="shared" si="43"/>
        <v>OK</v>
      </c>
      <c r="AA161" s="326" t="str">
        <f t="shared" si="43"/>
        <v>OK</v>
      </c>
      <c r="AB161" s="326" t="str">
        <f t="shared" si="43"/>
        <v>OK</v>
      </c>
      <c r="AC161" s="326" t="str">
        <f t="shared" si="43"/>
        <v>OK</v>
      </c>
      <c r="AD161" s="326" t="str">
        <f t="shared" si="43"/>
        <v>OK</v>
      </c>
      <c r="AE161" s="326" t="str">
        <f t="shared" si="43"/>
        <v>OK</v>
      </c>
      <c r="AF161" s="326" t="str">
        <f t="shared" si="43"/>
        <v>OK</v>
      </c>
      <c r="AG161" s="326" t="str">
        <f t="shared" si="43"/>
        <v>OK</v>
      </c>
      <c r="AH161" s="326" t="str">
        <f t="shared" si="43"/>
        <v>OK</v>
      </c>
      <c r="AI161" s="326" t="str">
        <f t="shared" si="43"/>
        <v>OK</v>
      </c>
      <c r="AJ161" s="326" t="str">
        <f t="shared" si="43"/>
        <v>OK</v>
      </c>
      <c r="AK161" s="326" t="str">
        <f t="shared" si="43"/>
        <v>OK</v>
      </c>
      <c r="AL161" s="327" t="str">
        <f t="shared" si="43"/>
        <v>OK</v>
      </c>
    </row>
    <row r="162" spans="2:38" hidden="1" outlineLevel="2">
      <c r="B162" s="214" t="s">
        <v>549</v>
      </c>
      <c r="C162" s="215" t="s">
        <v>549</v>
      </c>
      <c r="D162" s="333" t="s">
        <v>550</v>
      </c>
      <c r="E162" s="322" t="s">
        <v>202</v>
      </c>
      <c r="F162" s="323" t="s">
        <v>202</v>
      </c>
      <c r="G162" s="323" t="s">
        <v>202</v>
      </c>
      <c r="H162" s="324" t="s">
        <v>202</v>
      </c>
      <c r="I162" s="325" t="str">
        <f t="shared" ref="I162:AL162" si="44">IF(I18&gt;=I77,"OK","BŁĄD")</f>
        <v>OK</v>
      </c>
      <c r="J162" s="326" t="str">
        <f t="shared" si="44"/>
        <v>OK</v>
      </c>
      <c r="K162" s="326" t="str">
        <f t="shared" si="44"/>
        <v>OK</v>
      </c>
      <c r="L162" s="326" t="str">
        <f t="shared" si="44"/>
        <v>OK</v>
      </c>
      <c r="M162" s="326" t="str">
        <f t="shared" si="44"/>
        <v>OK</v>
      </c>
      <c r="N162" s="326" t="str">
        <f t="shared" si="44"/>
        <v>OK</v>
      </c>
      <c r="O162" s="326" t="str">
        <f t="shared" si="44"/>
        <v>OK</v>
      </c>
      <c r="P162" s="326" t="str">
        <f t="shared" si="44"/>
        <v>OK</v>
      </c>
      <c r="Q162" s="326" t="str">
        <f t="shared" si="44"/>
        <v>OK</v>
      </c>
      <c r="R162" s="326" t="str">
        <f t="shared" si="44"/>
        <v>OK</v>
      </c>
      <c r="S162" s="326" t="str">
        <f t="shared" si="44"/>
        <v>OK</v>
      </c>
      <c r="T162" s="326" t="str">
        <f t="shared" si="44"/>
        <v>OK</v>
      </c>
      <c r="U162" s="326" t="str">
        <f t="shared" si="44"/>
        <v>OK</v>
      </c>
      <c r="V162" s="326" t="str">
        <f t="shared" si="44"/>
        <v>OK</v>
      </c>
      <c r="W162" s="326" t="str">
        <f t="shared" si="44"/>
        <v>OK</v>
      </c>
      <c r="X162" s="326" t="str">
        <f t="shared" si="44"/>
        <v>OK</v>
      </c>
      <c r="Y162" s="326" t="str">
        <f t="shared" si="44"/>
        <v>OK</v>
      </c>
      <c r="Z162" s="326" t="str">
        <f t="shared" si="44"/>
        <v>OK</v>
      </c>
      <c r="AA162" s="326" t="str">
        <f t="shared" si="44"/>
        <v>OK</v>
      </c>
      <c r="AB162" s="326" t="str">
        <f t="shared" si="44"/>
        <v>OK</v>
      </c>
      <c r="AC162" s="326" t="str">
        <f t="shared" si="44"/>
        <v>OK</v>
      </c>
      <c r="AD162" s="326" t="str">
        <f t="shared" si="44"/>
        <v>OK</v>
      </c>
      <c r="AE162" s="326" t="str">
        <f t="shared" si="44"/>
        <v>OK</v>
      </c>
      <c r="AF162" s="326" t="str">
        <f t="shared" si="44"/>
        <v>OK</v>
      </c>
      <c r="AG162" s="326" t="str">
        <f t="shared" si="44"/>
        <v>OK</v>
      </c>
      <c r="AH162" s="326" t="str">
        <f t="shared" si="44"/>
        <v>OK</v>
      </c>
      <c r="AI162" s="326" t="str">
        <f t="shared" si="44"/>
        <v>OK</v>
      </c>
      <c r="AJ162" s="326" t="str">
        <f t="shared" si="44"/>
        <v>OK</v>
      </c>
      <c r="AK162" s="326" t="str">
        <f t="shared" si="44"/>
        <v>OK</v>
      </c>
      <c r="AL162" s="327" t="str">
        <f t="shared" si="44"/>
        <v>OK</v>
      </c>
    </row>
    <row r="163" spans="2:38" hidden="1" outlineLevel="2">
      <c r="B163" s="214" t="s">
        <v>551</v>
      </c>
      <c r="C163" s="215" t="s">
        <v>551</v>
      </c>
      <c r="D163" s="333" t="s">
        <v>552</v>
      </c>
      <c r="E163" s="322" t="s">
        <v>202</v>
      </c>
      <c r="F163" s="323" t="s">
        <v>202</v>
      </c>
      <c r="G163" s="323" t="s">
        <v>202</v>
      </c>
      <c r="H163" s="324" t="s">
        <v>202</v>
      </c>
      <c r="I163" s="325" t="str">
        <f t="shared" ref="I163:AL163" si="45">IF(I18&gt;=I98,"OK","BŁĄD")</f>
        <v>OK</v>
      </c>
      <c r="J163" s="326" t="str">
        <f t="shared" si="45"/>
        <v>OK</v>
      </c>
      <c r="K163" s="326" t="str">
        <f t="shared" si="45"/>
        <v>OK</v>
      </c>
      <c r="L163" s="326" t="str">
        <f t="shared" si="45"/>
        <v>OK</v>
      </c>
      <c r="M163" s="326" t="str">
        <f t="shared" si="45"/>
        <v>OK</v>
      </c>
      <c r="N163" s="326" t="str">
        <f t="shared" si="45"/>
        <v>OK</v>
      </c>
      <c r="O163" s="326" t="str">
        <f t="shared" si="45"/>
        <v>OK</v>
      </c>
      <c r="P163" s="326" t="str">
        <f t="shared" si="45"/>
        <v>OK</v>
      </c>
      <c r="Q163" s="326" t="str">
        <f t="shared" si="45"/>
        <v>OK</v>
      </c>
      <c r="R163" s="326" t="str">
        <f t="shared" si="45"/>
        <v>OK</v>
      </c>
      <c r="S163" s="326" t="str">
        <f t="shared" si="45"/>
        <v>OK</v>
      </c>
      <c r="T163" s="326" t="str">
        <f t="shared" si="45"/>
        <v>OK</v>
      </c>
      <c r="U163" s="326" t="str">
        <f t="shared" si="45"/>
        <v>OK</v>
      </c>
      <c r="V163" s="326" t="str">
        <f t="shared" si="45"/>
        <v>OK</v>
      </c>
      <c r="W163" s="326" t="str">
        <f t="shared" si="45"/>
        <v>OK</v>
      </c>
      <c r="X163" s="326" t="str">
        <f t="shared" si="45"/>
        <v>OK</v>
      </c>
      <c r="Y163" s="326" t="str">
        <f t="shared" si="45"/>
        <v>OK</v>
      </c>
      <c r="Z163" s="326" t="str">
        <f t="shared" si="45"/>
        <v>OK</v>
      </c>
      <c r="AA163" s="326" t="str">
        <f t="shared" si="45"/>
        <v>OK</v>
      </c>
      <c r="AB163" s="326" t="str">
        <f t="shared" si="45"/>
        <v>OK</v>
      </c>
      <c r="AC163" s="326" t="str">
        <f t="shared" si="45"/>
        <v>OK</v>
      </c>
      <c r="AD163" s="326" t="str">
        <f t="shared" si="45"/>
        <v>OK</v>
      </c>
      <c r="AE163" s="326" t="str">
        <f t="shared" si="45"/>
        <v>OK</v>
      </c>
      <c r="AF163" s="326" t="str">
        <f t="shared" si="45"/>
        <v>OK</v>
      </c>
      <c r="AG163" s="326" t="str">
        <f t="shared" si="45"/>
        <v>OK</v>
      </c>
      <c r="AH163" s="326" t="str">
        <f t="shared" si="45"/>
        <v>OK</v>
      </c>
      <c r="AI163" s="326" t="str">
        <f t="shared" si="45"/>
        <v>OK</v>
      </c>
      <c r="AJ163" s="326" t="str">
        <f t="shared" si="45"/>
        <v>OK</v>
      </c>
      <c r="AK163" s="326" t="str">
        <f t="shared" si="45"/>
        <v>OK</v>
      </c>
      <c r="AL163" s="327" t="str">
        <f t="shared" si="45"/>
        <v>OK</v>
      </c>
    </row>
    <row r="164" spans="2:38" hidden="1" outlineLevel="2">
      <c r="B164" s="214" t="s">
        <v>553</v>
      </c>
      <c r="C164" s="215" t="s">
        <v>553</v>
      </c>
      <c r="D164" s="333" t="s">
        <v>554</v>
      </c>
      <c r="E164" s="322" t="s">
        <v>202</v>
      </c>
      <c r="F164" s="323" t="s">
        <v>202</v>
      </c>
      <c r="G164" s="323" t="s">
        <v>202</v>
      </c>
      <c r="H164" s="324" t="s">
        <v>202</v>
      </c>
      <c r="I164" s="325" t="str">
        <f t="shared" ref="I164:AL164" si="46">IF(I26&gt;=I66,"OK","BŁĄD")</f>
        <v>OK</v>
      </c>
      <c r="J164" s="326" t="str">
        <f t="shared" si="46"/>
        <v>OK</v>
      </c>
      <c r="K164" s="326" t="str">
        <f t="shared" si="46"/>
        <v>OK</v>
      </c>
      <c r="L164" s="326" t="str">
        <f t="shared" si="46"/>
        <v>OK</v>
      </c>
      <c r="M164" s="326" t="str">
        <f t="shared" si="46"/>
        <v>OK</v>
      </c>
      <c r="N164" s="326" t="str">
        <f t="shared" si="46"/>
        <v>OK</v>
      </c>
      <c r="O164" s="326" t="str">
        <f t="shared" si="46"/>
        <v>OK</v>
      </c>
      <c r="P164" s="326" t="str">
        <f t="shared" si="46"/>
        <v>OK</v>
      </c>
      <c r="Q164" s="326" t="str">
        <f t="shared" si="46"/>
        <v>OK</v>
      </c>
      <c r="R164" s="326" t="str">
        <f t="shared" si="46"/>
        <v>OK</v>
      </c>
      <c r="S164" s="326" t="str">
        <f t="shared" si="46"/>
        <v>OK</v>
      </c>
      <c r="T164" s="326" t="str">
        <f t="shared" si="46"/>
        <v>OK</v>
      </c>
      <c r="U164" s="326" t="str">
        <f t="shared" si="46"/>
        <v>OK</v>
      </c>
      <c r="V164" s="326" t="str">
        <f t="shared" si="46"/>
        <v>OK</v>
      </c>
      <c r="W164" s="326" t="str">
        <f t="shared" si="46"/>
        <v>OK</v>
      </c>
      <c r="X164" s="326" t="str">
        <f t="shared" si="46"/>
        <v>OK</v>
      </c>
      <c r="Y164" s="326" t="str">
        <f t="shared" si="46"/>
        <v>OK</v>
      </c>
      <c r="Z164" s="326" t="str">
        <f t="shared" si="46"/>
        <v>OK</v>
      </c>
      <c r="AA164" s="326" t="str">
        <f t="shared" si="46"/>
        <v>OK</v>
      </c>
      <c r="AB164" s="326" t="str">
        <f t="shared" si="46"/>
        <v>OK</v>
      </c>
      <c r="AC164" s="326" t="str">
        <f t="shared" si="46"/>
        <v>OK</v>
      </c>
      <c r="AD164" s="326" t="str">
        <f t="shared" si="46"/>
        <v>OK</v>
      </c>
      <c r="AE164" s="326" t="str">
        <f t="shared" si="46"/>
        <v>OK</v>
      </c>
      <c r="AF164" s="326" t="str">
        <f t="shared" si="46"/>
        <v>OK</v>
      </c>
      <c r="AG164" s="326" t="str">
        <f t="shared" si="46"/>
        <v>OK</v>
      </c>
      <c r="AH164" s="326" t="str">
        <f t="shared" si="46"/>
        <v>OK</v>
      </c>
      <c r="AI164" s="326" t="str">
        <f t="shared" si="46"/>
        <v>OK</v>
      </c>
      <c r="AJ164" s="326" t="str">
        <f t="shared" si="46"/>
        <v>OK</v>
      </c>
      <c r="AK164" s="326" t="str">
        <f t="shared" si="46"/>
        <v>OK</v>
      </c>
      <c r="AL164" s="327" t="str">
        <f t="shared" si="46"/>
        <v>OK</v>
      </c>
    </row>
    <row r="165" spans="2:38" hidden="1" outlineLevel="2">
      <c r="B165" s="214" t="s">
        <v>555</v>
      </c>
      <c r="C165" s="215" t="s">
        <v>555</v>
      </c>
      <c r="D165" s="333" t="s">
        <v>556</v>
      </c>
      <c r="E165" s="322" t="s">
        <v>202</v>
      </c>
      <c r="F165" s="323" t="s">
        <v>202</v>
      </c>
      <c r="G165" s="323" t="s">
        <v>202</v>
      </c>
      <c r="H165" s="324" t="s">
        <v>202</v>
      </c>
      <c r="I165" s="325" t="str">
        <f t="shared" ref="I165:AL165" si="47">IF(I26&gt;=I67+I68,"OK","BŁĄD")</f>
        <v>OK</v>
      </c>
      <c r="J165" s="326" t="str">
        <f t="shared" si="47"/>
        <v>OK</v>
      </c>
      <c r="K165" s="326" t="str">
        <f t="shared" si="47"/>
        <v>OK</v>
      </c>
      <c r="L165" s="326" t="str">
        <f t="shared" si="47"/>
        <v>OK</v>
      </c>
      <c r="M165" s="326" t="str">
        <f t="shared" si="47"/>
        <v>OK</v>
      </c>
      <c r="N165" s="326" t="str">
        <f t="shared" si="47"/>
        <v>OK</v>
      </c>
      <c r="O165" s="326" t="str">
        <f t="shared" si="47"/>
        <v>OK</v>
      </c>
      <c r="P165" s="326" t="str">
        <f t="shared" si="47"/>
        <v>OK</v>
      </c>
      <c r="Q165" s="326" t="str">
        <f t="shared" si="47"/>
        <v>OK</v>
      </c>
      <c r="R165" s="326" t="str">
        <f t="shared" si="47"/>
        <v>OK</v>
      </c>
      <c r="S165" s="326" t="str">
        <f t="shared" si="47"/>
        <v>OK</v>
      </c>
      <c r="T165" s="326" t="str">
        <f t="shared" si="47"/>
        <v>OK</v>
      </c>
      <c r="U165" s="326" t="str">
        <f t="shared" si="47"/>
        <v>OK</v>
      </c>
      <c r="V165" s="326" t="str">
        <f t="shared" si="47"/>
        <v>OK</v>
      </c>
      <c r="W165" s="326" t="str">
        <f t="shared" si="47"/>
        <v>OK</v>
      </c>
      <c r="X165" s="326" t="str">
        <f t="shared" si="47"/>
        <v>OK</v>
      </c>
      <c r="Y165" s="326" t="str">
        <f t="shared" si="47"/>
        <v>OK</v>
      </c>
      <c r="Z165" s="326" t="str">
        <f t="shared" si="47"/>
        <v>OK</v>
      </c>
      <c r="AA165" s="326" t="str">
        <f t="shared" si="47"/>
        <v>OK</v>
      </c>
      <c r="AB165" s="326" t="str">
        <f t="shared" si="47"/>
        <v>OK</v>
      </c>
      <c r="AC165" s="326" t="str">
        <f t="shared" si="47"/>
        <v>OK</v>
      </c>
      <c r="AD165" s="326" t="str">
        <f t="shared" si="47"/>
        <v>OK</v>
      </c>
      <c r="AE165" s="326" t="str">
        <f t="shared" si="47"/>
        <v>OK</v>
      </c>
      <c r="AF165" s="326" t="str">
        <f t="shared" si="47"/>
        <v>OK</v>
      </c>
      <c r="AG165" s="326" t="str">
        <f t="shared" si="47"/>
        <v>OK</v>
      </c>
      <c r="AH165" s="326" t="str">
        <f t="shared" si="47"/>
        <v>OK</v>
      </c>
      <c r="AI165" s="326" t="str">
        <f t="shared" si="47"/>
        <v>OK</v>
      </c>
      <c r="AJ165" s="326" t="str">
        <f t="shared" si="47"/>
        <v>OK</v>
      </c>
      <c r="AK165" s="326" t="str">
        <f t="shared" si="47"/>
        <v>OK</v>
      </c>
      <c r="AL165" s="327" t="str">
        <f t="shared" si="47"/>
        <v>OK</v>
      </c>
    </row>
    <row r="166" spans="2:38" hidden="1" outlineLevel="2">
      <c r="B166" s="214" t="s">
        <v>557</v>
      </c>
      <c r="C166" s="215" t="s">
        <v>557</v>
      </c>
      <c r="D166" s="333" t="s">
        <v>558</v>
      </c>
      <c r="E166" s="322" t="s">
        <v>202</v>
      </c>
      <c r="F166" s="323" t="s">
        <v>202</v>
      </c>
      <c r="G166" s="323" t="s">
        <v>202</v>
      </c>
      <c r="H166" s="324" t="s">
        <v>202</v>
      </c>
      <c r="I166" s="325" t="str">
        <f t="shared" ref="I166:AL166" si="48">IF(I26&gt;=I69,"OK","BŁĄD")</f>
        <v>OK</v>
      </c>
      <c r="J166" s="326" t="str">
        <f t="shared" si="48"/>
        <v>OK</v>
      </c>
      <c r="K166" s="326" t="str">
        <f t="shared" si="48"/>
        <v>OK</v>
      </c>
      <c r="L166" s="326" t="str">
        <f t="shared" si="48"/>
        <v>OK</v>
      </c>
      <c r="M166" s="326" t="str">
        <f t="shared" si="48"/>
        <v>OK</v>
      </c>
      <c r="N166" s="326" t="str">
        <f t="shared" si="48"/>
        <v>OK</v>
      </c>
      <c r="O166" s="326" t="str">
        <f t="shared" si="48"/>
        <v>OK</v>
      </c>
      <c r="P166" s="326" t="str">
        <f t="shared" si="48"/>
        <v>OK</v>
      </c>
      <c r="Q166" s="326" t="str">
        <f t="shared" si="48"/>
        <v>OK</v>
      </c>
      <c r="R166" s="326" t="str">
        <f t="shared" si="48"/>
        <v>OK</v>
      </c>
      <c r="S166" s="326" t="str">
        <f t="shared" si="48"/>
        <v>OK</v>
      </c>
      <c r="T166" s="326" t="str">
        <f t="shared" si="48"/>
        <v>OK</v>
      </c>
      <c r="U166" s="326" t="str">
        <f t="shared" si="48"/>
        <v>OK</v>
      </c>
      <c r="V166" s="326" t="str">
        <f t="shared" si="48"/>
        <v>OK</v>
      </c>
      <c r="W166" s="326" t="str">
        <f t="shared" si="48"/>
        <v>OK</v>
      </c>
      <c r="X166" s="326" t="str">
        <f t="shared" si="48"/>
        <v>OK</v>
      </c>
      <c r="Y166" s="326" t="str">
        <f t="shared" si="48"/>
        <v>OK</v>
      </c>
      <c r="Z166" s="326" t="str">
        <f t="shared" si="48"/>
        <v>OK</v>
      </c>
      <c r="AA166" s="326" t="str">
        <f t="shared" si="48"/>
        <v>OK</v>
      </c>
      <c r="AB166" s="326" t="str">
        <f t="shared" si="48"/>
        <v>OK</v>
      </c>
      <c r="AC166" s="326" t="str">
        <f t="shared" si="48"/>
        <v>OK</v>
      </c>
      <c r="AD166" s="326" t="str">
        <f t="shared" si="48"/>
        <v>OK</v>
      </c>
      <c r="AE166" s="326" t="str">
        <f t="shared" si="48"/>
        <v>OK</v>
      </c>
      <c r="AF166" s="326" t="str">
        <f t="shared" si="48"/>
        <v>OK</v>
      </c>
      <c r="AG166" s="326" t="str">
        <f t="shared" si="48"/>
        <v>OK</v>
      </c>
      <c r="AH166" s="326" t="str">
        <f t="shared" si="48"/>
        <v>OK</v>
      </c>
      <c r="AI166" s="326" t="str">
        <f t="shared" si="48"/>
        <v>OK</v>
      </c>
      <c r="AJ166" s="326" t="str">
        <f t="shared" si="48"/>
        <v>OK</v>
      </c>
      <c r="AK166" s="326" t="str">
        <f t="shared" si="48"/>
        <v>OK</v>
      </c>
      <c r="AL166" s="327" t="str">
        <f t="shared" si="48"/>
        <v>OK</v>
      </c>
    </row>
    <row r="167" spans="2:38" hidden="1" outlineLevel="2">
      <c r="B167" s="214" t="s">
        <v>559</v>
      </c>
      <c r="C167" s="215" t="s">
        <v>559</v>
      </c>
      <c r="D167" s="333" t="s">
        <v>560</v>
      </c>
      <c r="E167" s="322" t="s">
        <v>202</v>
      </c>
      <c r="F167" s="323" t="s">
        <v>202</v>
      </c>
      <c r="G167" s="323" t="s">
        <v>202</v>
      </c>
      <c r="H167" s="324" t="s">
        <v>202</v>
      </c>
      <c r="I167" s="325" t="str">
        <f t="shared" ref="I167:AL167" si="49">IF(I26&gt;=I80,"OK","BŁĄD")</f>
        <v>OK</v>
      </c>
      <c r="J167" s="326" t="str">
        <f t="shared" si="49"/>
        <v>OK</v>
      </c>
      <c r="K167" s="326" t="str">
        <f t="shared" si="49"/>
        <v>OK</v>
      </c>
      <c r="L167" s="326" t="str">
        <f t="shared" si="49"/>
        <v>OK</v>
      </c>
      <c r="M167" s="326" t="str">
        <f t="shared" si="49"/>
        <v>OK</v>
      </c>
      <c r="N167" s="326" t="str">
        <f t="shared" si="49"/>
        <v>OK</v>
      </c>
      <c r="O167" s="326" t="str">
        <f t="shared" si="49"/>
        <v>OK</v>
      </c>
      <c r="P167" s="326" t="str">
        <f t="shared" si="49"/>
        <v>OK</v>
      </c>
      <c r="Q167" s="326" t="str">
        <f t="shared" si="49"/>
        <v>OK</v>
      </c>
      <c r="R167" s="326" t="str">
        <f t="shared" si="49"/>
        <v>OK</v>
      </c>
      <c r="S167" s="326" t="str">
        <f t="shared" si="49"/>
        <v>OK</v>
      </c>
      <c r="T167" s="326" t="str">
        <f t="shared" si="49"/>
        <v>OK</v>
      </c>
      <c r="U167" s="326" t="str">
        <f t="shared" si="49"/>
        <v>OK</v>
      </c>
      <c r="V167" s="326" t="str">
        <f t="shared" si="49"/>
        <v>OK</v>
      </c>
      <c r="W167" s="326" t="str">
        <f t="shared" si="49"/>
        <v>OK</v>
      </c>
      <c r="X167" s="326" t="str">
        <f t="shared" si="49"/>
        <v>OK</v>
      </c>
      <c r="Y167" s="326" t="str">
        <f t="shared" si="49"/>
        <v>OK</v>
      </c>
      <c r="Z167" s="326" t="str">
        <f t="shared" si="49"/>
        <v>OK</v>
      </c>
      <c r="AA167" s="326" t="str">
        <f t="shared" si="49"/>
        <v>OK</v>
      </c>
      <c r="AB167" s="326" t="str">
        <f t="shared" si="49"/>
        <v>OK</v>
      </c>
      <c r="AC167" s="326" t="str">
        <f t="shared" si="49"/>
        <v>OK</v>
      </c>
      <c r="AD167" s="326" t="str">
        <f t="shared" si="49"/>
        <v>OK</v>
      </c>
      <c r="AE167" s="326" t="str">
        <f t="shared" si="49"/>
        <v>OK</v>
      </c>
      <c r="AF167" s="326" t="str">
        <f t="shared" si="49"/>
        <v>OK</v>
      </c>
      <c r="AG167" s="326" t="str">
        <f t="shared" si="49"/>
        <v>OK</v>
      </c>
      <c r="AH167" s="326" t="str">
        <f t="shared" si="49"/>
        <v>OK</v>
      </c>
      <c r="AI167" s="326" t="str">
        <f t="shared" si="49"/>
        <v>OK</v>
      </c>
      <c r="AJ167" s="326" t="str">
        <f t="shared" si="49"/>
        <v>OK</v>
      </c>
      <c r="AK167" s="326" t="str">
        <f t="shared" si="49"/>
        <v>OK</v>
      </c>
      <c r="AL167" s="327" t="str">
        <f t="shared" si="49"/>
        <v>OK</v>
      </c>
    </row>
    <row r="168" spans="2:38" hidden="1" outlineLevel="2">
      <c r="B168" s="214" t="s">
        <v>561</v>
      </c>
      <c r="C168" s="215" t="s">
        <v>561</v>
      </c>
      <c r="D168" s="333" t="s">
        <v>562</v>
      </c>
      <c r="E168" s="322" t="s">
        <v>202</v>
      </c>
      <c r="F168" s="323" t="s">
        <v>202</v>
      </c>
      <c r="G168" s="323" t="s">
        <v>202</v>
      </c>
      <c r="H168" s="324" t="s">
        <v>202</v>
      </c>
      <c r="I168" s="325" t="str">
        <f t="shared" ref="I168:AL168" si="50">IF(I29&gt;=I30,"OK","BŁĄD")</f>
        <v>OK</v>
      </c>
      <c r="J168" s="326" t="str">
        <f t="shared" si="50"/>
        <v>OK</v>
      </c>
      <c r="K168" s="326" t="str">
        <f t="shared" si="50"/>
        <v>OK</v>
      </c>
      <c r="L168" s="326" t="str">
        <f t="shared" si="50"/>
        <v>OK</v>
      </c>
      <c r="M168" s="326" t="str">
        <f t="shared" si="50"/>
        <v>OK</v>
      </c>
      <c r="N168" s="326" t="str">
        <f t="shared" si="50"/>
        <v>OK</v>
      </c>
      <c r="O168" s="326" t="str">
        <f t="shared" si="50"/>
        <v>OK</v>
      </c>
      <c r="P168" s="326" t="str">
        <f t="shared" si="50"/>
        <v>OK</v>
      </c>
      <c r="Q168" s="326" t="str">
        <f t="shared" si="50"/>
        <v>OK</v>
      </c>
      <c r="R168" s="326" t="str">
        <f t="shared" si="50"/>
        <v>OK</v>
      </c>
      <c r="S168" s="326" t="str">
        <f t="shared" si="50"/>
        <v>OK</v>
      </c>
      <c r="T168" s="326" t="str">
        <f t="shared" si="50"/>
        <v>OK</v>
      </c>
      <c r="U168" s="326" t="str">
        <f t="shared" si="50"/>
        <v>OK</v>
      </c>
      <c r="V168" s="326" t="str">
        <f t="shared" si="50"/>
        <v>OK</v>
      </c>
      <c r="W168" s="326" t="str">
        <f t="shared" si="50"/>
        <v>OK</v>
      </c>
      <c r="X168" s="326" t="str">
        <f t="shared" si="50"/>
        <v>OK</v>
      </c>
      <c r="Y168" s="326" t="str">
        <f t="shared" si="50"/>
        <v>OK</v>
      </c>
      <c r="Z168" s="326" t="str">
        <f t="shared" si="50"/>
        <v>OK</v>
      </c>
      <c r="AA168" s="326" t="str">
        <f t="shared" si="50"/>
        <v>OK</v>
      </c>
      <c r="AB168" s="326" t="str">
        <f t="shared" si="50"/>
        <v>OK</v>
      </c>
      <c r="AC168" s="326" t="str">
        <f t="shared" si="50"/>
        <v>OK</v>
      </c>
      <c r="AD168" s="326" t="str">
        <f t="shared" si="50"/>
        <v>OK</v>
      </c>
      <c r="AE168" s="326" t="str">
        <f t="shared" si="50"/>
        <v>OK</v>
      </c>
      <c r="AF168" s="326" t="str">
        <f t="shared" si="50"/>
        <v>OK</v>
      </c>
      <c r="AG168" s="326" t="str">
        <f t="shared" si="50"/>
        <v>OK</v>
      </c>
      <c r="AH168" s="326" t="str">
        <f t="shared" si="50"/>
        <v>OK</v>
      </c>
      <c r="AI168" s="326" t="str">
        <f t="shared" si="50"/>
        <v>OK</v>
      </c>
      <c r="AJ168" s="326" t="str">
        <f t="shared" si="50"/>
        <v>OK</v>
      </c>
      <c r="AK168" s="326" t="str">
        <f t="shared" si="50"/>
        <v>OK</v>
      </c>
      <c r="AL168" s="327" t="str">
        <f t="shared" si="50"/>
        <v>OK</v>
      </c>
    </row>
    <row r="169" spans="2:38" hidden="1" outlineLevel="2">
      <c r="B169" s="214" t="s">
        <v>563</v>
      </c>
      <c r="C169" s="215" t="s">
        <v>563</v>
      </c>
      <c r="D169" s="333" t="s">
        <v>564</v>
      </c>
      <c r="E169" s="322" t="s">
        <v>202</v>
      </c>
      <c r="F169" s="323" t="s">
        <v>202</v>
      </c>
      <c r="G169" s="323" t="s">
        <v>202</v>
      </c>
      <c r="H169" s="324" t="s">
        <v>202</v>
      </c>
      <c r="I169" s="325" t="str">
        <f t="shared" ref="I169:AL169" si="51">IF(I31&gt;=I32,"OK","BŁĄD")</f>
        <v>OK</v>
      </c>
      <c r="J169" s="326" t="str">
        <f t="shared" si="51"/>
        <v>OK</v>
      </c>
      <c r="K169" s="326" t="str">
        <f t="shared" si="51"/>
        <v>OK</v>
      </c>
      <c r="L169" s="326" t="str">
        <f t="shared" si="51"/>
        <v>OK</v>
      </c>
      <c r="M169" s="326" t="str">
        <f t="shared" si="51"/>
        <v>OK</v>
      </c>
      <c r="N169" s="326" t="str">
        <f t="shared" si="51"/>
        <v>OK</v>
      </c>
      <c r="O169" s="326" t="str">
        <f t="shared" si="51"/>
        <v>OK</v>
      </c>
      <c r="P169" s="326" t="str">
        <f t="shared" si="51"/>
        <v>OK</v>
      </c>
      <c r="Q169" s="326" t="str">
        <f t="shared" si="51"/>
        <v>OK</v>
      </c>
      <c r="R169" s="326" t="str">
        <f t="shared" si="51"/>
        <v>OK</v>
      </c>
      <c r="S169" s="326" t="str">
        <f t="shared" si="51"/>
        <v>OK</v>
      </c>
      <c r="T169" s="326" t="str">
        <f t="shared" si="51"/>
        <v>OK</v>
      </c>
      <c r="U169" s="326" t="str">
        <f t="shared" si="51"/>
        <v>OK</v>
      </c>
      <c r="V169" s="326" t="str">
        <f t="shared" si="51"/>
        <v>OK</v>
      </c>
      <c r="W169" s="326" t="str">
        <f t="shared" si="51"/>
        <v>OK</v>
      </c>
      <c r="X169" s="326" t="str">
        <f t="shared" si="51"/>
        <v>OK</v>
      </c>
      <c r="Y169" s="326" t="str">
        <f t="shared" si="51"/>
        <v>OK</v>
      </c>
      <c r="Z169" s="326" t="str">
        <f t="shared" si="51"/>
        <v>OK</v>
      </c>
      <c r="AA169" s="326" t="str">
        <f t="shared" si="51"/>
        <v>OK</v>
      </c>
      <c r="AB169" s="326" t="str">
        <f t="shared" si="51"/>
        <v>OK</v>
      </c>
      <c r="AC169" s="326" t="str">
        <f t="shared" si="51"/>
        <v>OK</v>
      </c>
      <c r="AD169" s="326" t="str">
        <f t="shared" si="51"/>
        <v>OK</v>
      </c>
      <c r="AE169" s="326" t="str">
        <f t="shared" si="51"/>
        <v>OK</v>
      </c>
      <c r="AF169" s="326" t="str">
        <f t="shared" si="51"/>
        <v>OK</v>
      </c>
      <c r="AG169" s="326" t="str">
        <f t="shared" si="51"/>
        <v>OK</v>
      </c>
      <c r="AH169" s="326" t="str">
        <f t="shared" si="51"/>
        <v>OK</v>
      </c>
      <c r="AI169" s="326" t="str">
        <f t="shared" si="51"/>
        <v>OK</v>
      </c>
      <c r="AJ169" s="326" t="str">
        <f t="shared" si="51"/>
        <v>OK</v>
      </c>
      <c r="AK169" s="326" t="str">
        <f t="shared" si="51"/>
        <v>OK</v>
      </c>
      <c r="AL169" s="327" t="str">
        <f t="shared" si="51"/>
        <v>OK</v>
      </c>
    </row>
    <row r="170" spans="2:38" hidden="1" outlineLevel="2">
      <c r="B170" s="214" t="s">
        <v>565</v>
      </c>
      <c r="C170" s="215" t="s">
        <v>565</v>
      </c>
      <c r="D170" s="333" t="s">
        <v>566</v>
      </c>
      <c r="E170" s="322" t="s">
        <v>202</v>
      </c>
      <c r="F170" s="323" t="s">
        <v>202</v>
      </c>
      <c r="G170" s="323" t="s">
        <v>202</v>
      </c>
      <c r="H170" s="324" t="s">
        <v>202</v>
      </c>
      <c r="I170" s="325" t="str">
        <f t="shared" ref="I170:AL170" si="52">IF(I33&gt;=I34,"OK","BŁĄD")</f>
        <v>OK</v>
      </c>
      <c r="J170" s="326" t="str">
        <f t="shared" si="52"/>
        <v>OK</v>
      </c>
      <c r="K170" s="326" t="str">
        <f t="shared" si="52"/>
        <v>OK</v>
      </c>
      <c r="L170" s="326" t="str">
        <f t="shared" si="52"/>
        <v>OK</v>
      </c>
      <c r="M170" s="326" t="str">
        <f t="shared" si="52"/>
        <v>OK</v>
      </c>
      <c r="N170" s="326" t="str">
        <f t="shared" si="52"/>
        <v>OK</v>
      </c>
      <c r="O170" s="326" t="str">
        <f t="shared" si="52"/>
        <v>OK</v>
      </c>
      <c r="P170" s="326" t="str">
        <f t="shared" si="52"/>
        <v>OK</v>
      </c>
      <c r="Q170" s="326" t="str">
        <f t="shared" si="52"/>
        <v>OK</v>
      </c>
      <c r="R170" s="326" t="str">
        <f t="shared" si="52"/>
        <v>OK</v>
      </c>
      <c r="S170" s="326" t="str">
        <f t="shared" si="52"/>
        <v>OK</v>
      </c>
      <c r="T170" s="326" t="str">
        <f t="shared" si="52"/>
        <v>OK</v>
      </c>
      <c r="U170" s="326" t="str">
        <f t="shared" si="52"/>
        <v>OK</v>
      </c>
      <c r="V170" s="326" t="str">
        <f t="shared" si="52"/>
        <v>OK</v>
      </c>
      <c r="W170" s="326" t="str">
        <f t="shared" si="52"/>
        <v>OK</v>
      </c>
      <c r="X170" s="326" t="str">
        <f t="shared" si="52"/>
        <v>OK</v>
      </c>
      <c r="Y170" s="326" t="str">
        <f t="shared" si="52"/>
        <v>OK</v>
      </c>
      <c r="Z170" s="326" t="str">
        <f t="shared" si="52"/>
        <v>OK</v>
      </c>
      <c r="AA170" s="326" t="str">
        <f t="shared" si="52"/>
        <v>OK</v>
      </c>
      <c r="AB170" s="326" t="str">
        <f t="shared" si="52"/>
        <v>OK</v>
      </c>
      <c r="AC170" s="326" t="str">
        <f t="shared" si="52"/>
        <v>OK</v>
      </c>
      <c r="AD170" s="326" t="str">
        <f t="shared" si="52"/>
        <v>OK</v>
      </c>
      <c r="AE170" s="326" t="str">
        <f t="shared" si="52"/>
        <v>OK</v>
      </c>
      <c r="AF170" s="326" t="str">
        <f t="shared" si="52"/>
        <v>OK</v>
      </c>
      <c r="AG170" s="326" t="str">
        <f t="shared" si="52"/>
        <v>OK</v>
      </c>
      <c r="AH170" s="326" t="str">
        <f t="shared" si="52"/>
        <v>OK</v>
      </c>
      <c r="AI170" s="326" t="str">
        <f t="shared" si="52"/>
        <v>OK</v>
      </c>
      <c r="AJ170" s="326" t="str">
        <f t="shared" si="52"/>
        <v>OK</v>
      </c>
      <c r="AK170" s="326" t="str">
        <f t="shared" si="52"/>
        <v>OK</v>
      </c>
      <c r="AL170" s="327" t="str">
        <f t="shared" si="52"/>
        <v>OK</v>
      </c>
    </row>
    <row r="171" spans="2:38" hidden="1" outlineLevel="2">
      <c r="B171" s="214" t="s">
        <v>567</v>
      </c>
      <c r="C171" s="215" t="s">
        <v>567</v>
      </c>
      <c r="D171" s="333" t="s">
        <v>568</v>
      </c>
      <c r="E171" s="322" t="s">
        <v>202</v>
      </c>
      <c r="F171" s="323" t="s">
        <v>202</v>
      </c>
      <c r="G171" s="323" t="s">
        <v>202</v>
      </c>
      <c r="H171" s="324" t="s">
        <v>202</v>
      </c>
      <c r="I171" s="325" t="str">
        <f t="shared" ref="I171:AL171" si="53">IF(I35&gt;=I36,"OK","BŁĄD")</f>
        <v>OK</v>
      </c>
      <c r="J171" s="326" t="str">
        <f t="shared" si="53"/>
        <v>OK</v>
      </c>
      <c r="K171" s="326" t="str">
        <f t="shared" si="53"/>
        <v>OK</v>
      </c>
      <c r="L171" s="326" t="str">
        <f t="shared" si="53"/>
        <v>OK</v>
      </c>
      <c r="M171" s="326" t="str">
        <f t="shared" si="53"/>
        <v>OK</v>
      </c>
      <c r="N171" s="326" t="str">
        <f t="shared" si="53"/>
        <v>OK</v>
      </c>
      <c r="O171" s="326" t="str">
        <f t="shared" si="53"/>
        <v>OK</v>
      </c>
      <c r="P171" s="326" t="str">
        <f t="shared" si="53"/>
        <v>OK</v>
      </c>
      <c r="Q171" s="326" t="str">
        <f t="shared" si="53"/>
        <v>OK</v>
      </c>
      <c r="R171" s="326" t="str">
        <f t="shared" si="53"/>
        <v>OK</v>
      </c>
      <c r="S171" s="326" t="str">
        <f t="shared" si="53"/>
        <v>OK</v>
      </c>
      <c r="T171" s="326" t="str">
        <f t="shared" si="53"/>
        <v>OK</v>
      </c>
      <c r="U171" s="326" t="str">
        <f t="shared" si="53"/>
        <v>OK</v>
      </c>
      <c r="V171" s="326" t="str">
        <f t="shared" si="53"/>
        <v>OK</v>
      </c>
      <c r="W171" s="326" t="str">
        <f t="shared" si="53"/>
        <v>OK</v>
      </c>
      <c r="X171" s="326" t="str">
        <f t="shared" si="53"/>
        <v>OK</v>
      </c>
      <c r="Y171" s="326" t="str">
        <f t="shared" si="53"/>
        <v>OK</v>
      </c>
      <c r="Z171" s="326" t="str">
        <f t="shared" si="53"/>
        <v>OK</v>
      </c>
      <c r="AA171" s="326" t="str">
        <f t="shared" si="53"/>
        <v>OK</v>
      </c>
      <c r="AB171" s="326" t="str">
        <f t="shared" si="53"/>
        <v>OK</v>
      </c>
      <c r="AC171" s="326" t="str">
        <f t="shared" si="53"/>
        <v>OK</v>
      </c>
      <c r="AD171" s="326" t="str">
        <f t="shared" si="53"/>
        <v>OK</v>
      </c>
      <c r="AE171" s="326" t="str">
        <f t="shared" si="53"/>
        <v>OK</v>
      </c>
      <c r="AF171" s="326" t="str">
        <f t="shared" si="53"/>
        <v>OK</v>
      </c>
      <c r="AG171" s="326" t="str">
        <f t="shared" si="53"/>
        <v>OK</v>
      </c>
      <c r="AH171" s="326" t="str">
        <f t="shared" si="53"/>
        <v>OK</v>
      </c>
      <c r="AI171" s="326" t="str">
        <f t="shared" si="53"/>
        <v>OK</v>
      </c>
      <c r="AJ171" s="326" t="str">
        <f t="shared" si="53"/>
        <v>OK</v>
      </c>
      <c r="AK171" s="326" t="str">
        <f t="shared" si="53"/>
        <v>OK</v>
      </c>
      <c r="AL171" s="327" t="str">
        <f t="shared" si="53"/>
        <v>OK</v>
      </c>
    </row>
    <row r="172" spans="2:38" hidden="1" outlineLevel="2">
      <c r="B172" s="214" t="s">
        <v>569</v>
      </c>
      <c r="C172" s="215" t="s">
        <v>569</v>
      </c>
      <c r="D172" s="333" t="s">
        <v>570</v>
      </c>
      <c r="E172" s="322" t="s">
        <v>202</v>
      </c>
      <c r="F172" s="323" t="s">
        <v>202</v>
      </c>
      <c r="G172" s="323" t="s">
        <v>202</v>
      </c>
      <c r="H172" s="324" t="s">
        <v>202</v>
      </c>
      <c r="I172" s="325" t="str">
        <f t="shared" ref="I172:AL172" si="54">IF(I38&gt;=I39,"OK","BŁĄD")</f>
        <v>OK</v>
      </c>
      <c r="J172" s="326" t="str">
        <f t="shared" si="54"/>
        <v>OK</v>
      </c>
      <c r="K172" s="326" t="str">
        <f t="shared" si="54"/>
        <v>OK</v>
      </c>
      <c r="L172" s="326" t="str">
        <f t="shared" si="54"/>
        <v>OK</v>
      </c>
      <c r="M172" s="326" t="str">
        <f t="shared" si="54"/>
        <v>OK</v>
      </c>
      <c r="N172" s="326" t="str">
        <f t="shared" si="54"/>
        <v>OK</v>
      </c>
      <c r="O172" s="326" t="str">
        <f t="shared" si="54"/>
        <v>OK</v>
      </c>
      <c r="P172" s="326" t="str">
        <f t="shared" si="54"/>
        <v>OK</v>
      </c>
      <c r="Q172" s="326" t="str">
        <f t="shared" si="54"/>
        <v>OK</v>
      </c>
      <c r="R172" s="326" t="str">
        <f t="shared" si="54"/>
        <v>OK</v>
      </c>
      <c r="S172" s="326" t="str">
        <f t="shared" si="54"/>
        <v>OK</v>
      </c>
      <c r="T172" s="326" t="str">
        <f t="shared" si="54"/>
        <v>OK</v>
      </c>
      <c r="U172" s="326" t="str">
        <f t="shared" si="54"/>
        <v>OK</v>
      </c>
      <c r="V172" s="326" t="str">
        <f t="shared" si="54"/>
        <v>OK</v>
      </c>
      <c r="W172" s="326" t="str">
        <f t="shared" si="54"/>
        <v>OK</v>
      </c>
      <c r="X172" s="326" t="str">
        <f t="shared" si="54"/>
        <v>OK</v>
      </c>
      <c r="Y172" s="326" t="str">
        <f t="shared" si="54"/>
        <v>OK</v>
      </c>
      <c r="Z172" s="326" t="str">
        <f t="shared" si="54"/>
        <v>OK</v>
      </c>
      <c r="AA172" s="326" t="str">
        <f t="shared" si="54"/>
        <v>OK</v>
      </c>
      <c r="AB172" s="326" t="str">
        <f t="shared" si="54"/>
        <v>OK</v>
      </c>
      <c r="AC172" s="326" t="str">
        <f t="shared" si="54"/>
        <v>OK</v>
      </c>
      <c r="AD172" s="326" t="str">
        <f t="shared" si="54"/>
        <v>OK</v>
      </c>
      <c r="AE172" s="326" t="str">
        <f t="shared" si="54"/>
        <v>OK</v>
      </c>
      <c r="AF172" s="326" t="str">
        <f t="shared" si="54"/>
        <v>OK</v>
      </c>
      <c r="AG172" s="326" t="str">
        <f t="shared" si="54"/>
        <v>OK</v>
      </c>
      <c r="AH172" s="326" t="str">
        <f t="shared" si="54"/>
        <v>OK</v>
      </c>
      <c r="AI172" s="326" t="str">
        <f t="shared" si="54"/>
        <v>OK</v>
      </c>
      <c r="AJ172" s="326" t="str">
        <f t="shared" si="54"/>
        <v>OK</v>
      </c>
      <c r="AK172" s="326" t="str">
        <f t="shared" si="54"/>
        <v>OK</v>
      </c>
      <c r="AL172" s="327" t="str">
        <f t="shared" si="54"/>
        <v>OK</v>
      </c>
    </row>
    <row r="173" spans="2:38" hidden="1" outlineLevel="2">
      <c r="B173" s="214" t="s">
        <v>571</v>
      </c>
      <c r="C173" s="215" t="s">
        <v>571</v>
      </c>
      <c r="D173" s="333" t="s">
        <v>572</v>
      </c>
      <c r="E173" s="322" t="s">
        <v>202</v>
      </c>
      <c r="F173" s="323" t="s">
        <v>202</v>
      </c>
      <c r="G173" s="323" t="s">
        <v>202</v>
      </c>
      <c r="H173" s="324" t="s">
        <v>202</v>
      </c>
      <c r="I173" s="325" t="str">
        <f t="shared" ref="I173:AL173" si="55">IF(I38&gt;=I60,"OK","BŁĄD")</f>
        <v>OK</v>
      </c>
      <c r="J173" s="326" t="str">
        <f t="shared" si="55"/>
        <v>OK</v>
      </c>
      <c r="K173" s="326" t="str">
        <f t="shared" si="55"/>
        <v>OK</v>
      </c>
      <c r="L173" s="326" t="str">
        <f t="shared" si="55"/>
        <v>OK</v>
      </c>
      <c r="M173" s="326" t="str">
        <f t="shared" si="55"/>
        <v>OK</v>
      </c>
      <c r="N173" s="326" t="str">
        <f t="shared" si="55"/>
        <v>OK</v>
      </c>
      <c r="O173" s="326" t="str">
        <f t="shared" si="55"/>
        <v>OK</v>
      </c>
      <c r="P173" s="326" t="str">
        <f t="shared" si="55"/>
        <v>OK</v>
      </c>
      <c r="Q173" s="326" t="str">
        <f t="shared" si="55"/>
        <v>OK</v>
      </c>
      <c r="R173" s="326" t="str">
        <f t="shared" si="55"/>
        <v>OK</v>
      </c>
      <c r="S173" s="326" t="str">
        <f t="shared" si="55"/>
        <v>OK</v>
      </c>
      <c r="T173" s="326" t="str">
        <f t="shared" si="55"/>
        <v>OK</v>
      </c>
      <c r="U173" s="326" t="str">
        <f t="shared" si="55"/>
        <v>OK</v>
      </c>
      <c r="V173" s="326" t="str">
        <f t="shared" si="55"/>
        <v>OK</v>
      </c>
      <c r="W173" s="326" t="str">
        <f t="shared" si="55"/>
        <v>OK</v>
      </c>
      <c r="X173" s="326" t="str">
        <f t="shared" si="55"/>
        <v>OK</v>
      </c>
      <c r="Y173" s="326" t="str">
        <f t="shared" si="55"/>
        <v>OK</v>
      </c>
      <c r="Z173" s="326" t="str">
        <f t="shared" si="55"/>
        <v>OK</v>
      </c>
      <c r="AA173" s="326" t="str">
        <f t="shared" si="55"/>
        <v>OK</v>
      </c>
      <c r="AB173" s="326" t="str">
        <f t="shared" si="55"/>
        <v>OK</v>
      </c>
      <c r="AC173" s="326" t="str">
        <f t="shared" si="55"/>
        <v>OK</v>
      </c>
      <c r="AD173" s="326" t="str">
        <f t="shared" si="55"/>
        <v>OK</v>
      </c>
      <c r="AE173" s="326" t="str">
        <f t="shared" si="55"/>
        <v>OK</v>
      </c>
      <c r="AF173" s="326" t="str">
        <f t="shared" si="55"/>
        <v>OK</v>
      </c>
      <c r="AG173" s="326" t="str">
        <f t="shared" si="55"/>
        <v>OK</v>
      </c>
      <c r="AH173" s="326" t="str">
        <f t="shared" si="55"/>
        <v>OK</v>
      </c>
      <c r="AI173" s="326" t="str">
        <f t="shared" si="55"/>
        <v>OK</v>
      </c>
      <c r="AJ173" s="326" t="str">
        <f t="shared" si="55"/>
        <v>OK</v>
      </c>
      <c r="AK173" s="326" t="str">
        <f t="shared" si="55"/>
        <v>OK</v>
      </c>
      <c r="AL173" s="327" t="str">
        <f t="shared" si="55"/>
        <v>OK</v>
      </c>
    </row>
    <row r="174" spans="2:38" hidden="1" outlineLevel="2">
      <c r="B174" s="214" t="s">
        <v>573</v>
      </c>
      <c r="C174" s="215" t="s">
        <v>573</v>
      </c>
      <c r="D174" s="333" t="s">
        <v>574</v>
      </c>
      <c r="E174" s="322" t="s">
        <v>202</v>
      </c>
      <c r="F174" s="323" t="s">
        <v>202</v>
      </c>
      <c r="G174" s="323" t="s">
        <v>202</v>
      </c>
      <c r="H174" s="324" t="s">
        <v>202</v>
      </c>
      <c r="I174" s="325" t="str">
        <f t="shared" ref="I174:AL174" si="56">IF(I38&gt;=I100,"OK","BŁĄD")</f>
        <v>OK</v>
      </c>
      <c r="J174" s="326" t="str">
        <f t="shared" si="56"/>
        <v>OK</v>
      </c>
      <c r="K174" s="326" t="str">
        <f t="shared" si="56"/>
        <v>OK</v>
      </c>
      <c r="L174" s="326" t="str">
        <f t="shared" si="56"/>
        <v>OK</v>
      </c>
      <c r="M174" s="326" t="str">
        <f t="shared" si="56"/>
        <v>OK</v>
      </c>
      <c r="N174" s="326" t="str">
        <f t="shared" si="56"/>
        <v>OK</v>
      </c>
      <c r="O174" s="326" t="str">
        <f t="shared" si="56"/>
        <v>OK</v>
      </c>
      <c r="P174" s="326" t="str">
        <f t="shared" si="56"/>
        <v>OK</v>
      </c>
      <c r="Q174" s="326" t="str">
        <f t="shared" si="56"/>
        <v>OK</v>
      </c>
      <c r="R174" s="326" t="str">
        <f t="shared" si="56"/>
        <v>OK</v>
      </c>
      <c r="S174" s="326" t="str">
        <f t="shared" si="56"/>
        <v>OK</v>
      </c>
      <c r="T174" s="326" t="str">
        <f t="shared" si="56"/>
        <v>OK</v>
      </c>
      <c r="U174" s="326" t="str">
        <f t="shared" si="56"/>
        <v>OK</v>
      </c>
      <c r="V174" s="326" t="str">
        <f t="shared" si="56"/>
        <v>OK</v>
      </c>
      <c r="W174" s="326" t="str">
        <f t="shared" si="56"/>
        <v>OK</v>
      </c>
      <c r="X174" s="326" t="str">
        <f t="shared" si="56"/>
        <v>OK</v>
      </c>
      <c r="Y174" s="326" t="str">
        <f t="shared" si="56"/>
        <v>OK</v>
      </c>
      <c r="Z174" s="326" t="str">
        <f t="shared" si="56"/>
        <v>OK</v>
      </c>
      <c r="AA174" s="326" t="str">
        <f t="shared" si="56"/>
        <v>OK</v>
      </c>
      <c r="AB174" s="326" t="str">
        <f t="shared" si="56"/>
        <v>OK</v>
      </c>
      <c r="AC174" s="326" t="str">
        <f t="shared" si="56"/>
        <v>OK</v>
      </c>
      <c r="AD174" s="326" t="str">
        <f t="shared" si="56"/>
        <v>OK</v>
      </c>
      <c r="AE174" s="326" t="str">
        <f t="shared" si="56"/>
        <v>OK</v>
      </c>
      <c r="AF174" s="326" t="str">
        <f t="shared" si="56"/>
        <v>OK</v>
      </c>
      <c r="AG174" s="326" t="str">
        <f t="shared" si="56"/>
        <v>OK</v>
      </c>
      <c r="AH174" s="326" t="str">
        <f t="shared" si="56"/>
        <v>OK</v>
      </c>
      <c r="AI174" s="326" t="str">
        <f t="shared" si="56"/>
        <v>OK</v>
      </c>
      <c r="AJ174" s="326" t="str">
        <f t="shared" si="56"/>
        <v>OK</v>
      </c>
      <c r="AK174" s="326" t="str">
        <f t="shared" si="56"/>
        <v>OK</v>
      </c>
      <c r="AL174" s="327" t="str">
        <f t="shared" si="56"/>
        <v>OK</v>
      </c>
    </row>
    <row r="175" spans="2:38" hidden="1" outlineLevel="2">
      <c r="B175" s="214" t="s">
        <v>575</v>
      </c>
      <c r="C175" s="215" t="s">
        <v>575</v>
      </c>
      <c r="D175" s="333" t="s">
        <v>576</v>
      </c>
      <c r="E175" s="322" t="s">
        <v>202</v>
      </c>
      <c r="F175" s="323" t="s">
        <v>202</v>
      </c>
      <c r="G175" s="323" t="s">
        <v>202</v>
      </c>
      <c r="H175" s="324" t="s">
        <v>202</v>
      </c>
      <c r="I175" s="325" t="str">
        <f t="shared" ref="I175:AL175" si="57">IF(I44&gt;=I45,"OK","BŁĄD")</f>
        <v>OK</v>
      </c>
      <c r="J175" s="326" t="str">
        <f t="shared" si="57"/>
        <v>OK</v>
      </c>
      <c r="K175" s="326" t="str">
        <f t="shared" si="57"/>
        <v>OK</v>
      </c>
      <c r="L175" s="326" t="str">
        <f t="shared" si="57"/>
        <v>OK</v>
      </c>
      <c r="M175" s="326" t="str">
        <f t="shared" si="57"/>
        <v>OK</v>
      </c>
      <c r="N175" s="326" t="str">
        <f t="shared" si="57"/>
        <v>OK</v>
      </c>
      <c r="O175" s="326" t="str">
        <f t="shared" si="57"/>
        <v>OK</v>
      </c>
      <c r="P175" s="326" t="str">
        <f t="shared" si="57"/>
        <v>OK</v>
      </c>
      <c r="Q175" s="326" t="str">
        <f t="shared" si="57"/>
        <v>OK</v>
      </c>
      <c r="R175" s="326" t="str">
        <f t="shared" si="57"/>
        <v>OK</v>
      </c>
      <c r="S175" s="326" t="str">
        <f t="shared" si="57"/>
        <v>OK</v>
      </c>
      <c r="T175" s="326" t="str">
        <f t="shared" si="57"/>
        <v>OK</v>
      </c>
      <c r="U175" s="326" t="str">
        <f t="shared" si="57"/>
        <v>OK</v>
      </c>
      <c r="V175" s="326" t="str">
        <f t="shared" si="57"/>
        <v>OK</v>
      </c>
      <c r="W175" s="326" t="str">
        <f t="shared" si="57"/>
        <v>OK</v>
      </c>
      <c r="X175" s="326" t="str">
        <f t="shared" si="57"/>
        <v>OK</v>
      </c>
      <c r="Y175" s="326" t="str">
        <f t="shared" si="57"/>
        <v>OK</v>
      </c>
      <c r="Z175" s="326" t="str">
        <f t="shared" si="57"/>
        <v>OK</v>
      </c>
      <c r="AA175" s="326" t="str">
        <f t="shared" si="57"/>
        <v>OK</v>
      </c>
      <c r="AB175" s="326" t="str">
        <f t="shared" si="57"/>
        <v>OK</v>
      </c>
      <c r="AC175" s="326" t="str">
        <f t="shared" si="57"/>
        <v>OK</v>
      </c>
      <c r="AD175" s="326" t="str">
        <f t="shared" si="57"/>
        <v>OK</v>
      </c>
      <c r="AE175" s="326" t="str">
        <f t="shared" si="57"/>
        <v>OK</v>
      </c>
      <c r="AF175" s="326" t="str">
        <f t="shared" si="57"/>
        <v>OK</v>
      </c>
      <c r="AG175" s="326" t="str">
        <f t="shared" si="57"/>
        <v>OK</v>
      </c>
      <c r="AH175" s="326" t="str">
        <f t="shared" si="57"/>
        <v>OK</v>
      </c>
      <c r="AI175" s="326" t="str">
        <f t="shared" si="57"/>
        <v>OK</v>
      </c>
      <c r="AJ175" s="326" t="str">
        <f t="shared" si="57"/>
        <v>OK</v>
      </c>
      <c r="AK175" s="326" t="str">
        <f t="shared" si="57"/>
        <v>OK</v>
      </c>
      <c r="AL175" s="327" t="str">
        <f t="shared" si="57"/>
        <v>OK</v>
      </c>
    </row>
    <row r="176" spans="2:38" hidden="1" outlineLevel="2">
      <c r="B176" s="214" t="s">
        <v>577</v>
      </c>
      <c r="C176" s="215" t="s">
        <v>577</v>
      </c>
      <c r="D176" s="333" t="s">
        <v>578</v>
      </c>
      <c r="E176" s="322" t="s">
        <v>202</v>
      </c>
      <c r="F176" s="323" t="s">
        <v>202</v>
      </c>
      <c r="G176" s="323" t="s">
        <v>202</v>
      </c>
      <c r="H176" s="324" t="s">
        <v>202</v>
      </c>
      <c r="I176" s="325" t="str">
        <f t="shared" ref="I176:AL176" si="58">IF(I44&gt;=I101,"OK","BŁĄD")</f>
        <v>OK</v>
      </c>
      <c r="J176" s="326" t="str">
        <f t="shared" si="58"/>
        <v>OK</v>
      </c>
      <c r="K176" s="326" t="str">
        <f t="shared" si="58"/>
        <v>OK</v>
      </c>
      <c r="L176" s="326" t="str">
        <f t="shared" si="58"/>
        <v>OK</v>
      </c>
      <c r="M176" s="326" t="str">
        <f t="shared" si="58"/>
        <v>OK</v>
      </c>
      <c r="N176" s="326" t="str">
        <f t="shared" si="58"/>
        <v>OK</v>
      </c>
      <c r="O176" s="326" t="str">
        <f t="shared" si="58"/>
        <v>OK</v>
      </c>
      <c r="P176" s="326" t="str">
        <f t="shared" si="58"/>
        <v>OK</v>
      </c>
      <c r="Q176" s="326" t="str">
        <f t="shared" si="58"/>
        <v>OK</v>
      </c>
      <c r="R176" s="326" t="str">
        <f t="shared" si="58"/>
        <v>OK</v>
      </c>
      <c r="S176" s="326" t="str">
        <f t="shared" si="58"/>
        <v>OK</v>
      </c>
      <c r="T176" s="326" t="str">
        <f t="shared" si="58"/>
        <v>OK</v>
      </c>
      <c r="U176" s="326" t="str">
        <f t="shared" si="58"/>
        <v>OK</v>
      </c>
      <c r="V176" s="326" t="str">
        <f t="shared" si="58"/>
        <v>OK</v>
      </c>
      <c r="W176" s="326" t="str">
        <f t="shared" si="58"/>
        <v>OK</v>
      </c>
      <c r="X176" s="326" t="str">
        <f t="shared" si="58"/>
        <v>OK</v>
      </c>
      <c r="Y176" s="326" t="str">
        <f t="shared" si="58"/>
        <v>OK</v>
      </c>
      <c r="Z176" s="326" t="str">
        <f t="shared" si="58"/>
        <v>OK</v>
      </c>
      <c r="AA176" s="326" t="str">
        <f t="shared" si="58"/>
        <v>OK</v>
      </c>
      <c r="AB176" s="326" t="str">
        <f t="shared" si="58"/>
        <v>OK</v>
      </c>
      <c r="AC176" s="326" t="str">
        <f t="shared" si="58"/>
        <v>OK</v>
      </c>
      <c r="AD176" s="326" t="str">
        <f t="shared" si="58"/>
        <v>OK</v>
      </c>
      <c r="AE176" s="326" t="str">
        <f t="shared" si="58"/>
        <v>OK</v>
      </c>
      <c r="AF176" s="326" t="str">
        <f t="shared" si="58"/>
        <v>OK</v>
      </c>
      <c r="AG176" s="326" t="str">
        <f t="shared" si="58"/>
        <v>OK</v>
      </c>
      <c r="AH176" s="326" t="str">
        <f t="shared" si="58"/>
        <v>OK</v>
      </c>
      <c r="AI176" s="326" t="str">
        <f t="shared" si="58"/>
        <v>OK</v>
      </c>
      <c r="AJ176" s="326" t="str">
        <f t="shared" si="58"/>
        <v>OK</v>
      </c>
      <c r="AK176" s="326" t="str">
        <f t="shared" si="58"/>
        <v>OK</v>
      </c>
      <c r="AL176" s="327" t="str">
        <f t="shared" si="58"/>
        <v>OK</v>
      </c>
    </row>
    <row r="177" spans="2:39" hidden="1" outlineLevel="2">
      <c r="B177" s="214" t="s">
        <v>579</v>
      </c>
      <c r="C177" s="215" t="s">
        <v>579</v>
      </c>
      <c r="D177" s="333" t="s">
        <v>580</v>
      </c>
      <c r="E177" s="322" t="s">
        <v>202</v>
      </c>
      <c r="F177" s="323" t="s">
        <v>202</v>
      </c>
      <c r="G177" s="323" t="s">
        <v>202</v>
      </c>
      <c r="H177" s="324" t="s">
        <v>202</v>
      </c>
      <c r="I177" s="325" t="str">
        <f t="shared" ref="I177:AL177" si="59">IF(I45&gt;=I92,"OK","BŁĄD")</f>
        <v>OK</v>
      </c>
      <c r="J177" s="326" t="str">
        <f t="shared" si="59"/>
        <v>OK</v>
      </c>
      <c r="K177" s="326" t="str">
        <f t="shared" si="59"/>
        <v>OK</v>
      </c>
      <c r="L177" s="326" t="str">
        <f t="shared" si="59"/>
        <v>OK</v>
      </c>
      <c r="M177" s="326" t="str">
        <f t="shared" si="59"/>
        <v>OK</v>
      </c>
      <c r="N177" s="326" t="str">
        <f t="shared" si="59"/>
        <v>OK</v>
      </c>
      <c r="O177" s="326" t="str">
        <f t="shared" si="59"/>
        <v>OK</v>
      </c>
      <c r="P177" s="326" t="str">
        <f t="shared" si="59"/>
        <v>OK</v>
      </c>
      <c r="Q177" s="326" t="str">
        <f t="shared" si="59"/>
        <v>OK</v>
      </c>
      <c r="R177" s="326" t="str">
        <f t="shared" si="59"/>
        <v>OK</v>
      </c>
      <c r="S177" s="326" t="str">
        <f t="shared" si="59"/>
        <v>OK</v>
      </c>
      <c r="T177" s="326" t="str">
        <f t="shared" si="59"/>
        <v>OK</v>
      </c>
      <c r="U177" s="326" t="str">
        <f t="shared" si="59"/>
        <v>OK</v>
      </c>
      <c r="V177" s="326" t="str">
        <f t="shared" si="59"/>
        <v>OK</v>
      </c>
      <c r="W177" s="326" t="str">
        <f t="shared" si="59"/>
        <v>OK</v>
      </c>
      <c r="X177" s="326" t="str">
        <f t="shared" si="59"/>
        <v>OK</v>
      </c>
      <c r="Y177" s="326" t="str">
        <f t="shared" si="59"/>
        <v>OK</v>
      </c>
      <c r="Z177" s="326" t="str">
        <f t="shared" si="59"/>
        <v>OK</v>
      </c>
      <c r="AA177" s="326" t="str">
        <f t="shared" si="59"/>
        <v>OK</v>
      </c>
      <c r="AB177" s="326" t="str">
        <f t="shared" si="59"/>
        <v>OK</v>
      </c>
      <c r="AC177" s="326" t="str">
        <f t="shared" si="59"/>
        <v>OK</v>
      </c>
      <c r="AD177" s="326" t="str">
        <f t="shared" si="59"/>
        <v>OK</v>
      </c>
      <c r="AE177" s="326" t="str">
        <f t="shared" si="59"/>
        <v>OK</v>
      </c>
      <c r="AF177" s="326" t="str">
        <f t="shared" si="59"/>
        <v>OK</v>
      </c>
      <c r="AG177" s="326" t="str">
        <f t="shared" si="59"/>
        <v>OK</v>
      </c>
      <c r="AH177" s="326" t="str">
        <f t="shared" si="59"/>
        <v>OK</v>
      </c>
      <c r="AI177" s="326" t="str">
        <f t="shared" si="59"/>
        <v>OK</v>
      </c>
      <c r="AJ177" s="326" t="str">
        <f t="shared" si="59"/>
        <v>OK</v>
      </c>
      <c r="AK177" s="326" t="str">
        <f t="shared" si="59"/>
        <v>OK</v>
      </c>
      <c r="AL177" s="327" t="str">
        <f t="shared" si="59"/>
        <v>OK</v>
      </c>
    </row>
    <row r="178" spans="2:39" hidden="1" outlineLevel="2">
      <c r="B178" s="218" t="s">
        <v>581</v>
      </c>
      <c r="C178" s="219" t="s">
        <v>581</v>
      </c>
      <c r="D178" s="337" t="s">
        <v>582</v>
      </c>
      <c r="E178" s="338" t="s">
        <v>202</v>
      </c>
      <c r="F178" s="339" t="s">
        <v>202</v>
      </c>
      <c r="G178" s="339" t="s">
        <v>202</v>
      </c>
      <c r="H178" s="340" t="s">
        <v>202</v>
      </c>
      <c r="I178" s="341" t="str">
        <f t="shared" ref="I178:AL178" si="60">IF(I22&lt;&gt;0,IF(I23&lt;&gt;0,"OK","BŁĄD"),"N/D")</f>
        <v>OK</v>
      </c>
      <c r="J178" s="342" t="str">
        <f t="shared" si="60"/>
        <v>OK</v>
      </c>
      <c r="K178" s="342" t="str">
        <f t="shared" si="60"/>
        <v>OK</v>
      </c>
      <c r="L178" s="342" t="str">
        <f t="shared" si="60"/>
        <v>OK</v>
      </c>
      <c r="M178" s="342" t="str">
        <f t="shared" si="60"/>
        <v>OK</v>
      </c>
      <c r="N178" s="342" t="str">
        <f t="shared" si="60"/>
        <v>OK</v>
      </c>
      <c r="O178" s="342" t="str">
        <f t="shared" si="60"/>
        <v>OK</v>
      </c>
      <c r="P178" s="342" t="str">
        <f t="shared" si="60"/>
        <v>OK</v>
      </c>
      <c r="Q178" s="342" t="str">
        <f t="shared" si="60"/>
        <v>OK</v>
      </c>
      <c r="R178" s="342" t="str">
        <f t="shared" si="60"/>
        <v>OK</v>
      </c>
      <c r="S178" s="342" t="str">
        <f t="shared" si="60"/>
        <v>N/D</v>
      </c>
      <c r="T178" s="342" t="str">
        <f t="shared" si="60"/>
        <v>N/D</v>
      </c>
      <c r="U178" s="342" t="str">
        <f t="shared" si="60"/>
        <v>N/D</v>
      </c>
      <c r="V178" s="342" t="str">
        <f t="shared" si="60"/>
        <v>N/D</v>
      </c>
      <c r="W178" s="342" t="str">
        <f t="shared" si="60"/>
        <v>N/D</v>
      </c>
      <c r="X178" s="342" t="str">
        <f t="shared" si="60"/>
        <v>N/D</v>
      </c>
      <c r="Y178" s="342" t="str">
        <f t="shared" si="60"/>
        <v>N/D</v>
      </c>
      <c r="Z178" s="342" t="str">
        <f t="shared" si="60"/>
        <v>N/D</v>
      </c>
      <c r="AA178" s="342" t="str">
        <f t="shared" si="60"/>
        <v>N/D</v>
      </c>
      <c r="AB178" s="342" t="str">
        <f t="shared" si="60"/>
        <v>N/D</v>
      </c>
      <c r="AC178" s="342" t="str">
        <f t="shared" si="60"/>
        <v>N/D</v>
      </c>
      <c r="AD178" s="342" t="str">
        <f t="shared" si="60"/>
        <v>N/D</v>
      </c>
      <c r="AE178" s="342" t="str">
        <f t="shared" si="60"/>
        <v>N/D</v>
      </c>
      <c r="AF178" s="342" t="str">
        <f t="shared" si="60"/>
        <v>N/D</v>
      </c>
      <c r="AG178" s="342" t="str">
        <f t="shared" si="60"/>
        <v>N/D</v>
      </c>
      <c r="AH178" s="342" t="str">
        <f t="shared" si="60"/>
        <v>N/D</v>
      </c>
      <c r="AI178" s="342" t="str">
        <f t="shared" si="60"/>
        <v>N/D</v>
      </c>
      <c r="AJ178" s="342" t="str">
        <f t="shared" si="60"/>
        <v>N/D</v>
      </c>
      <c r="AK178" s="342" t="str">
        <f t="shared" si="60"/>
        <v>N/D</v>
      </c>
      <c r="AL178" s="343" t="str">
        <f t="shared" si="60"/>
        <v>N/D</v>
      </c>
    </row>
    <row r="179" spans="2:39" hidden="1" outlineLevel="2">
      <c r="B179" s="344"/>
      <c r="C179" s="344"/>
      <c r="D179" s="344"/>
      <c r="E179" s="345"/>
      <c r="F179" s="345"/>
      <c r="G179" s="345"/>
      <c r="H179" s="345"/>
      <c r="I179" s="346"/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  <c r="AE179" s="346"/>
      <c r="AF179" s="346"/>
      <c r="AG179" s="346"/>
      <c r="AH179" s="346"/>
      <c r="AI179" s="346"/>
      <c r="AJ179" s="346"/>
      <c r="AK179" s="346"/>
      <c r="AL179" s="346"/>
    </row>
    <row r="180" spans="2:39" hidden="1" outlineLevel="1">
      <c r="B180" s="344"/>
      <c r="C180" s="344"/>
      <c r="D180" s="313" t="s">
        <v>583</v>
      </c>
      <c r="E180" s="345"/>
      <c r="F180" s="345"/>
      <c r="G180" s="345"/>
      <c r="H180" s="345"/>
      <c r="I180" s="346"/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  <c r="AF180" s="346"/>
      <c r="AG180" s="346"/>
      <c r="AH180" s="346"/>
      <c r="AI180" s="346"/>
      <c r="AJ180" s="346"/>
      <c r="AK180" s="346"/>
      <c r="AL180" s="346"/>
    </row>
    <row r="181" spans="2:39" ht="15" hidden="1" outlineLevel="2">
      <c r="B181" s="347"/>
      <c r="C181" s="348"/>
      <c r="D181" s="349" t="s">
        <v>584</v>
      </c>
      <c r="E181" s="350">
        <f t="shared" ref="E181:AL181" si="61">E7+E14</f>
        <v>18734729.550000001</v>
      </c>
      <c r="F181" s="351">
        <f t="shared" si="61"/>
        <v>20245143.630000003</v>
      </c>
      <c r="G181" s="351">
        <f t="shared" si="61"/>
        <v>24139022.149999999</v>
      </c>
      <c r="H181" s="352">
        <f t="shared" si="61"/>
        <v>20184871.670000002</v>
      </c>
      <c r="I181" s="353">
        <f t="shared" si="61"/>
        <v>22074830.579999998</v>
      </c>
      <c r="J181" s="354">
        <f t="shared" si="61"/>
        <v>20719364</v>
      </c>
      <c r="K181" s="354">
        <f t="shared" si="61"/>
        <v>21240927</v>
      </c>
      <c r="L181" s="354">
        <f t="shared" si="61"/>
        <v>22455480</v>
      </c>
      <c r="M181" s="354">
        <f t="shared" si="61"/>
        <v>22640260</v>
      </c>
      <c r="N181" s="354">
        <f t="shared" si="61"/>
        <v>23725900</v>
      </c>
      <c r="O181" s="354">
        <f t="shared" si="61"/>
        <v>24370936</v>
      </c>
      <c r="P181" s="354">
        <f t="shared" si="61"/>
        <v>26783412</v>
      </c>
      <c r="Q181" s="354">
        <f t="shared" si="61"/>
        <v>29394663</v>
      </c>
      <c r="R181" s="354">
        <f t="shared" si="61"/>
        <v>30905503.420000002</v>
      </c>
      <c r="S181" s="354">
        <f t="shared" si="61"/>
        <v>0</v>
      </c>
      <c r="T181" s="354">
        <f t="shared" si="61"/>
        <v>0</v>
      </c>
      <c r="U181" s="354">
        <f t="shared" si="61"/>
        <v>0</v>
      </c>
      <c r="V181" s="354">
        <f t="shared" si="61"/>
        <v>0</v>
      </c>
      <c r="W181" s="354">
        <f t="shared" si="61"/>
        <v>0</v>
      </c>
      <c r="X181" s="354">
        <f t="shared" si="61"/>
        <v>0</v>
      </c>
      <c r="Y181" s="354">
        <f t="shared" si="61"/>
        <v>0</v>
      </c>
      <c r="Z181" s="354">
        <f t="shared" si="61"/>
        <v>0</v>
      </c>
      <c r="AA181" s="354">
        <f t="shared" si="61"/>
        <v>0</v>
      </c>
      <c r="AB181" s="354">
        <f t="shared" si="61"/>
        <v>0</v>
      </c>
      <c r="AC181" s="354">
        <f t="shared" si="61"/>
        <v>0</v>
      </c>
      <c r="AD181" s="354">
        <f t="shared" si="61"/>
        <v>0</v>
      </c>
      <c r="AE181" s="354">
        <f t="shared" si="61"/>
        <v>0</v>
      </c>
      <c r="AF181" s="354">
        <f t="shared" si="61"/>
        <v>0</v>
      </c>
      <c r="AG181" s="354">
        <f t="shared" si="61"/>
        <v>0</v>
      </c>
      <c r="AH181" s="354">
        <f t="shared" si="61"/>
        <v>0</v>
      </c>
      <c r="AI181" s="354">
        <f t="shared" si="61"/>
        <v>0</v>
      </c>
      <c r="AJ181" s="354">
        <f t="shared" si="61"/>
        <v>0</v>
      </c>
      <c r="AK181" s="354">
        <f t="shared" si="61"/>
        <v>0</v>
      </c>
      <c r="AL181" s="355">
        <f t="shared" si="61"/>
        <v>0</v>
      </c>
      <c r="AM181" s="347"/>
    </row>
    <row r="182" spans="2:39" ht="15" hidden="1" outlineLevel="2">
      <c r="B182" s="347"/>
      <c r="C182" s="348"/>
      <c r="D182" s="356" t="s">
        <v>585</v>
      </c>
      <c r="E182" s="357">
        <f t="shared" ref="E182:AL182" si="62">E18+E26</f>
        <v>18802683.050000001</v>
      </c>
      <c r="F182" s="358">
        <f t="shared" si="62"/>
        <v>24474004.48</v>
      </c>
      <c r="G182" s="358">
        <f t="shared" si="62"/>
        <v>23725361.149999999</v>
      </c>
      <c r="H182" s="359">
        <f t="shared" si="62"/>
        <v>19823836.719999999</v>
      </c>
      <c r="I182" s="360">
        <f t="shared" si="62"/>
        <v>20210309.580000002</v>
      </c>
      <c r="J182" s="361">
        <f t="shared" si="62"/>
        <v>18765954</v>
      </c>
      <c r="K182" s="361">
        <f t="shared" si="62"/>
        <v>19287517</v>
      </c>
      <c r="L182" s="361">
        <f t="shared" si="62"/>
        <v>20502070</v>
      </c>
      <c r="M182" s="361">
        <f t="shared" si="62"/>
        <v>20686850</v>
      </c>
      <c r="N182" s="361">
        <f t="shared" si="62"/>
        <v>21772490</v>
      </c>
      <c r="O182" s="361">
        <f t="shared" si="62"/>
        <v>22457526</v>
      </c>
      <c r="P182" s="361">
        <f t="shared" si="62"/>
        <v>25773396</v>
      </c>
      <c r="Q182" s="361">
        <f t="shared" si="62"/>
        <v>29035811</v>
      </c>
      <c r="R182" s="361">
        <f t="shared" si="62"/>
        <v>30546570</v>
      </c>
      <c r="S182" s="361">
        <f t="shared" si="62"/>
        <v>0</v>
      </c>
      <c r="T182" s="361">
        <f t="shared" si="62"/>
        <v>0</v>
      </c>
      <c r="U182" s="361">
        <f t="shared" si="62"/>
        <v>0</v>
      </c>
      <c r="V182" s="361">
        <f t="shared" si="62"/>
        <v>0</v>
      </c>
      <c r="W182" s="361">
        <f t="shared" si="62"/>
        <v>0</v>
      </c>
      <c r="X182" s="361">
        <f t="shared" si="62"/>
        <v>0</v>
      </c>
      <c r="Y182" s="361">
        <f t="shared" si="62"/>
        <v>0</v>
      </c>
      <c r="Z182" s="361">
        <f t="shared" si="62"/>
        <v>0</v>
      </c>
      <c r="AA182" s="361">
        <f t="shared" si="62"/>
        <v>0</v>
      </c>
      <c r="AB182" s="361">
        <f t="shared" si="62"/>
        <v>0</v>
      </c>
      <c r="AC182" s="361">
        <f t="shared" si="62"/>
        <v>0</v>
      </c>
      <c r="AD182" s="361">
        <f t="shared" si="62"/>
        <v>0</v>
      </c>
      <c r="AE182" s="361">
        <f t="shared" si="62"/>
        <v>0</v>
      </c>
      <c r="AF182" s="361">
        <f t="shared" si="62"/>
        <v>0</v>
      </c>
      <c r="AG182" s="361">
        <f t="shared" si="62"/>
        <v>0</v>
      </c>
      <c r="AH182" s="361">
        <f t="shared" si="62"/>
        <v>0</v>
      </c>
      <c r="AI182" s="361">
        <f t="shared" si="62"/>
        <v>0</v>
      </c>
      <c r="AJ182" s="361">
        <f t="shared" si="62"/>
        <v>0</v>
      </c>
      <c r="AK182" s="361">
        <f t="shared" si="62"/>
        <v>0</v>
      </c>
      <c r="AL182" s="362">
        <f t="shared" si="62"/>
        <v>0</v>
      </c>
      <c r="AM182" s="347"/>
    </row>
    <row r="183" spans="2:39" ht="15" hidden="1" outlineLevel="2">
      <c r="B183" s="347"/>
      <c r="C183" s="348"/>
      <c r="D183" s="356" t="s">
        <v>586</v>
      </c>
      <c r="E183" s="357">
        <f t="shared" ref="E183:AL183" si="63">E6-E17</f>
        <v>-67953.5</v>
      </c>
      <c r="F183" s="358">
        <f t="shared" si="63"/>
        <v>-4228860.8500000015</v>
      </c>
      <c r="G183" s="358">
        <f t="shared" si="63"/>
        <v>413661</v>
      </c>
      <c r="H183" s="359">
        <f t="shared" si="63"/>
        <v>361034.95000000298</v>
      </c>
      <c r="I183" s="360">
        <f t="shared" si="63"/>
        <v>1864521</v>
      </c>
      <c r="J183" s="361">
        <f t="shared" si="63"/>
        <v>1953410</v>
      </c>
      <c r="K183" s="361">
        <f t="shared" si="63"/>
        <v>1953410</v>
      </c>
      <c r="L183" s="361">
        <f t="shared" si="63"/>
        <v>1953410</v>
      </c>
      <c r="M183" s="361">
        <f t="shared" si="63"/>
        <v>1953410</v>
      </c>
      <c r="N183" s="361">
        <f t="shared" si="63"/>
        <v>1953410</v>
      </c>
      <c r="O183" s="361">
        <f t="shared" si="63"/>
        <v>1913410</v>
      </c>
      <c r="P183" s="361">
        <f t="shared" si="63"/>
        <v>1010016</v>
      </c>
      <c r="Q183" s="361">
        <f t="shared" si="63"/>
        <v>358852</v>
      </c>
      <c r="R183" s="361">
        <f t="shared" si="63"/>
        <v>358933.42000000179</v>
      </c>
      <c r="S183" s="361">
        <f t="shared" si="63"/>
        <v>0</v>
      </c>
      <c r="T183" s="361">
        <f t="shared" si="63"/>
        <v>0</v>
      </c>
      <c r="U183" s="361">
        <f t="shared" si="63"/>
        <v>0</v>
      </c>
      <c r="V183" s="361">
        <f t="shared" si="63"/>
        <v>0</v>
      </c>
      <c r="W183" s="361">
        <f t="shared" si="63"/>
        <v>0</v>
      </c>
      <c r="X183" s="361">
        <f t="shared" si="63"/>
        <v>0</v>
      </c>
      <c r="Y183" s="361">
        <f t="shared" si="63"/>
        <v>0</v>
      </c>
      <c r="Z183" s="361">
        <f t="shared" si="63"/>
        <v>0</v>
      </c>
      <c r="AA183" s="361">
        <f t="shared" si="63"/>
        <v>0</v>
      </c>
      <c r="AB183" s="361">
        <f t="shared" si="63"/>
        <v>0</v>
      </c>
      <c r="AC183" s="361">
        <f t="shared" si="63"/>
        <v>0</v>
      </c>
      <c r="AD183" s="361">
        <f t="shared" si="63"/>
        <v>0</v>
      </c>
      <c r="AE183" s="361">
        <f t="shared" si="63"/>
        <v>0</v>
      </c>
      <c r="AF183" s="361">
        <f t="shared" si="63"/>
        <v>0</v>
      </c>
      <c r="AG183" s="361">
        <f t="shared" si="63"/>
        <v>0</v>
      </c>
      <c r="AH183" s="361">
        <f t="shared" si="63"/>
        <v>0</v>
      </c>
      <c r="AI183" s="361">
        <f t="shared" si="63"/>
        <v>0</v>
      </c>
      <c r="AJ183" s="361">
        <f t="shared" si="63"/>
        <v>0</v>
      </c>
      <c r="AK183" s="361">
        <f t="shared" si="63"/>
        <v>0</v>
      </c>
      <c r="AL183" s="362">
        <f t="shared" si="63"/>
        <v>0</v>
      </c>
      <c r="AM183" s="347"/>
    </row>
    <row r="184" spans="2:39" ht="15" hidden="1" outlineLevel="2">
      <c r="B184" s="347"/>
      <c r="C184" s="348"/>
      <c r="D184" s="363" t="s">
        <v>587</v>
      </c>
      <c r="E184" s="364" t="s">
        <v>202</v>
      </c>
      <c r="F184" s="358">
        <f>E44+F33-F38+(F101-E101)+F106</f>
        <v>19551002.510000002</v>
      </c>
      <c r="G184" s="365" t="s">
        <v>202</v>
      </c>
      <c r="H184" s="359">
        <f>F44+H33-H38+(H101-F101)+H106</f>
        <v>17851173.010000002</v>
      </c>
      <c r="I184" s="360">
        <f t="shared" ref="I184:AL184" si="64">H44+I33-I38+(I101-H101)+I106</f>
        <v>15106620.550000001</v>
      </c>
      <c r="J184" s="361">
        <f t="shared" si="64"/>
        <v>12473756.140000001</v>
      </c>
      <c r="K184" s="361">
        <f t="shared" si="64"/>
        <v>9840892.4199999999</v>
      </c>
      <c r="L184" s="361">
        <f t="shared" si="64"/>
        <v>7559017.4199999999</v>
      </c>
      <c r="M184" s="361">
        <f t="shared" si="64"/>
        <v>5594621.4199999999</v>
      </c>
      <c r="N184" s="361">
        <f t="shared" si="64"/>
        <v>3641211.42</v>
      </c>
      <c r="O184" s="361">
        <f t="shared" si="64"/>
        <v>1727801.42</v>
      </c>
      <c r="P184" s="361">
        <f t="shared" si="64"/>
        <v>717785.41999999993</v>
      </c>
      <c r="Q184" s="361">
        <f t="shared" si="64"/>
        <v>358933.42000000004</v>
      </c>
      <c r="R184" s="361">
        <f t="shared" si="64"/>
        <v>0</v>
      </c>
      <c r="S184" s="361">
        <f t="shared" si="64"/>
        <v>0</v>
      </c>
      <c r="T184" s="361">
        <f t="shared" si="64"/>
        <v>0</v>
      </c>
      <c r="U184" s="361">
        <f t="shared" si="64"/>
        <v>0</v>
      </c>
      <c r="V184" s="361">
        <f t="shared" si="64"/>
        <v>0</v>
      </c>
      <c r="W184" s="361">
        <f t="shared" si="64"/>
        <v>0</v>
      </c>
      <c r="X184" s="361">
        <f t="shared" si="64"/>
        <v>0</v>
      </c>
      <c r="Y184" s="361">
        <f t="shared" si="64"/>
        <v>0</v>
      </c>
      <c r="Z184" s="361">
        <f t="shared" si="64"/>
        <v>0</v>
      </c>
      <c r="AA184" s="361">
        <f t="shared" si="64"/>
        <v>0</v>
      </c>
      <c r="AB184" s="361">
        <f t="shared" si="64"/>
        <v>0</v>
      </c>
      <c r="AC184" s="361">
        <f t="shared" si="64"/>
        <v>0</v>
      </c>
      <c r="AD184" s="361">
        <f t="shared" si="64"/>
        <v>0</v>
      </c>
      <c r="AE184" s="361">
        <f t="shared" si="64"/>
        <v>0</v>
      </c>
      <c r="AF184" s="361">
        <f t="shared" si="64"/>
        <v>0</v>
      </c>
      <c r="AG184" s="361">
        <f t="shared" si="64"/>
        <v>0</v>
      </c>
      <c r="AH184" s="361">
        <f t="shared" si="64"/>
        <v>0</v>
      </c>
      <c r="AI184" s="361">
        <f t="shared" si="64"/>
        <v>0</v>
      </c>
      <c r="AJ184" s="361">
        <f t="shared" si="64"/>
        <v>0</v>
      </c>
      <c r="AK184" s="361">
        <f t="shared" si="64"/>
        <v>0</v>
      </c>
      <c r="AL184" s="362">
        <f t="shared" si="64"/>
        <v>0</v>
      </c>
      <c r="AM184" s="347"/>
    </row>
    <row r="185" spans="2:39" ht="24" hidden="1" outlineLevel="2">
      <c r="B185" s="347"/>
      <c r="C185" s="348"/>
      <c r="D185" s="366" t="s">
        <v>588</v>
      </c>
      <c r="E185" s="367" t="s">
        <v>202</v>
      </c>
      <c r="F185" s="368">
        <f>E92-(F94+F95+F96+F97)</f>
        <v>0</v>
      </c>
      <c r="G185" s="369" t="s">
        <v>202</v>
      </c>
      <c r="H185" s="370">
        <f>F92-(H94+H95+H96+H97)</f>
        <v>0</v>
      </c>
      <c r="I185" s="371">
        <f t="shared" ref="I185:AL185" si="65">H92-(I94+I95+I96+I97)</f>
        <v>0</v>
      </c>
      <c r="J185" s="372">
        <f t="shared" si="65"/>
        <v>0</v>
      </c>
      <c r="K185" s="372">
        <f t="shared" si="65"/>
        <v>0</v>
      </c>
      <c r="L185" s="372">
        <f t="shared" si="65"/>
        <v>0</v>
      </c>
      <c r="M185" s="372">
        <f t="shared" si="65"/>
        <v>0</v>
      </c>
      <c r="N185" s="372">
        <f t="shared" si="65"/>
        <v>0</v>
      </c>
      <c r="O185" s="372">
        <f t="shared" si="65"/>
        <v>0</v>
      </c>
      <c r="P185" s="372">
        <f t="shared" si="65"/>
        <v>0</v>
      </c>
      <c r="Q185" s="372">
        <f t="shared" si="65"/>
        <v>0</v>
      </c>
      <c r="R185" s="372">
        <f t="shared" si="65"/>
        <v>0</v>
      </c>
      <c r="S185" s="372">
        <f t="shared" si="65"/>
        <v>0</v>
      </c>
      <c r="T185" s="372">
        <f t="shared" si="65"/>
        <v>0</v>
      </c>
      <c r="U185" s="372">
        <f t="shared" si="65"/>
        <v>0</v>
      </c>
      <c r="V185" s="372">
        <f t="shared" si="65"/>
        <v>0</v>
      </c>
      <c r="W185" s="372">
        <f t="shared" si="65"/>
        <v>0</v>
      </c>
      <c r="X185" s="372">
        <f t="shared" si="65"/>
        <v>0</v>
      </c>
      <c r="Y185" s="372">
        <f t="shared" si="65"/>
        <v>0</v>
      </c>
      <c r="Z185" s="372">
        <f t="shared" si="65"/>
        <v>0</v>
      </c>
      <c r="AA185" s="372">
        <f t="shared" si="65"/>
        <v>0</v>
      </c>
      <c r="AB185" s="372">
        <f t="shared" si="65"/>
        <v>0</v>
      </c>
      <c r="AC185" s="372">
        <f t="shared" si="65"/>
        <v>0</v>
      </c>
      <c r="AD185" s="372">
        <f t="shared" si="65"/>
        <v>0</v>
      </c>
      <c r="AE185" s="372">
        <f t="shared" si="65"/>
        <v>0</v>
      </c>
      <c r="AF185" s="372">
        <f t="shared" si="65"/>
        <v>0</v>
      </c>
      <c r="AG185" s="372">
        <f t="shared" si="65"/>
        <v>0</v>
      </c>
      <c r="AH185" s="372">
        <f t="shared" si="65"/>
        <v>0</v>
      </c>
      <c r="AI185" s="372">
        <f t="shared" si="65"/>
        <v>0</v>
      </c>
      <c r="AJ185" s="372">
        <f t="shared" si="65"/>
        <v>0</v>
      </c>
      <c r="AK185" s="372">
        <f t="shared" si="65"/>
        <v>0</v>
      </c>
      <c r="AL185" s="373">
        <f t="shared" si="65"/>
        <v>0</v>
      </c>
      <c r="AM185" s="347"/>
    </row>
    <row r="186" spans="2:39" hidden="1">
      <c r="E186" s="374"/>
      <c r="F186" s="374"/>
      <c r="G186" s="374"/>
      <c r="H186" s="374"/>
    </row>
    <row r="187" spans="2:39" ht="15.75" hidden="1">
      <c r="D187" s="375" t="s">
        <v>589</v>
      </c>
      <c r="E187" s="376"/>
      <c r="F187" s="376"/>
      <c r="G187" s="376"/>
      <c r="H187" s="376"/>
    </row>
    <row r="188" spans="2:39" hidden="1" outlineLevel="1">
      <c r="D188" s="377" t="s">
        <v>590</v>
      </c>
      <c r="E188" s="378"/>
      <c r="F188" s="378"/>
      <c r="G188" s="378"/>
      <c r="H188" s="378"/>
    </row>
    <row r="189" spans="2:39" hidden="1" outlineLevel="2">
      <c r="D189" s="220">
        <v>0</v>
      </c>
      <c r="E189" s="379" t="str">
        <f>+"różnica mniejsza od "&amp;TEXT(D189*100,"0,0")&amp;"%"</f>
        <v>różnica mniejsza od 0,0%</v>
      </c>
      <c r="F189" s="221"/>
      <c r="G189" s="221"/>
      <c r="H189" s="221"/>
      <c r="I189" s="27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  <c r="U189" s="380"/>
      <c r="V189" s="380"/>
      <c r="W189" s="380"/>
      <c r="X189" s="380"/>
      <c r="Y189" s="380"/>
      <c r="Z189" s="380"/>
      <c r="AA189" s="380"/>
      <c r="AB189" s="380"/>
      <c r="AC189" s="380"/>
      <c r="AD189" s="380"/>
      <c r="AE189" s="380"/>
      <c r="AF189" s="380"/>
      <c r="AG189" s="380"/>
      <c r="AH189" s="380"/>
      <c r="AI189" s="380"/>
      <c r="AJ189" s="380"/>
      <c r="AK189" s="380"/>
      <c r="AL189" s="380"/>
    </row>
    <row r="190" spans="2:39" hidden="1" outlineLevel="2">
      <c r="D190" s="222">
        <v>5.0000000000000001E-3</v>
      </c>
      <c r="E190" s="379" t="str">
        <f>+"różnica mniejsza od "&amp;TEXT(D190*100,"0,0")&amp;"%"</f>
        <v>różnica mniejsza od 0,5%</v>
      </c>
      <c r="F190" s="221"/>
      <c r="G190" s="221"/>
      <c r="H190" s="221"/>
      <c r="I190" s="270"/>
      <c r="J190" s="380"/>
      <c r="K190" s="380"/>
      <c r="L190" s="380"/>
      <c r="M190" s="380"/>
      <c r="N190" s="380"/>
      <c r="O190" s="380"/>
      <c r="P190" s="380"/>
      <c r="Q190" s="380"/>
      <c r="R190" s="380"/>
      <c r="S190" s="380"/>
      <c r="T190" s="380"/>
      <c r="U190" s="380"/>
      <c r="V190" s="380"/>
      <c r="W190" s="380"/>
      <c r="X190" s="380"/>
      <c r="Y190" s="380"/>
      <c r="Z190" s="380"/>
      <c r="AA190" s="380"/>
      <c r="AB190" s="380"/>
      <c r="AC190" s="380"/>
      <c r="AD190" s="380"/>
      <c r="AE190" s="380"/>
      <c r="AF190" s="380"/>
      <c r="AG190" s="380"/>
      <c r="AH190" s="380"/>
      <c r="AI190" s="380"/>
      <c r="AJ190" s="380"/>
      <c r="AK190" s="380"/>
      <c r="AL190" s="380"/>
    </row>
    <row r="191" spans="2:39" hidden="1" outlineLevel="2">
      <c r="D191" s="223">
        <v>0.01</v>
      </c>
      <c r="E191" s="379" t="str">
        <f>+"różnica mniejsza od "&amp;TEXT(D191*100,"0,0")&amp;"%"</f>
        <v>różnica mniejsza od 1,0%</v>
      </c>
      <c r="F191" s="221"/>
      <c r="G191" s="221"/>
      <c r="H191" s="221"/>
      <c r="I191" s="270"/>
      <c r="J191" s="380"/>
      <c r="K191" s="380"/>
      <c r="L191" s="380"/>
      <c r="M191" s="380"/>
      <c r="N191" s="380"/>
      <c r="O191" s="380"/>
      <c r="P191" s="380"/>
      <c r="Q191" s="380"/>
      <c r="R191" s="380"/>
      <c r="S191" s="380"/>
      <c r="T191" s="380"/>
      <c r="U191" s="380"/>
      <c r="V191" s="380"/>
      <c r="W191" s="380"/>
      <c r="X191" s="380"/>
      <c r="Y191" s="380"/>
      <c r="Z191" s="380"/>
      <c r="AA191" s="380"/>
      <c r="AB191" s="380"/>
      <c r="AC191" s="380"/>
      <c r="AD191" s="380"/>
      <c r="AE191" s="380"/>
      <c r="AF191" s="380"/>
      <c r="AG191" s="380"/>
      <c r="AH191" s="380"/>
      <c r="AI191" s="380"/>
      <c r="AJ191" s="380"/>
      <c r="AK191" s="380"/>
      <c r="AL191" s="380"/>
    </row>
    <row r="192" spans="2:39" hidden="1" outlineLevel="2">
      <c r="D192" s="381" t="s">
        <v>591</v>
      </c>
      <c r="E192" s="382" t="s">
        <v>202</v>
      </c>
      <c r="F192" s="383" t="s">
        <v>202</v>
      </c>
      <c r="G192" s="383" t="s">
        <v>202</v>
      </c>
      <c r="H192" s="384" t="s">
        <v>202</v>
      </c>
      <c r="I192" s="385">
        <f t="shared" ref="I192:AL192" si="66">+IF(I6=0,"",I55-I50)</f>
        <v>-3.9999999999999758E-4</v>
      </c>
      <c r="J192" s="386">
        <f t="shared" si="66"/>
        <v>2.0999999999999908E-3</v>
      </c>
      <c r="K192" s="386">
        <f t="shared" si="66"/>
        <v>3.7000000000000005E-2</v>
      </c>
      <c r="L192" s="386">
        <f t="shared" si="66"/>
        <v>6.4000000000000015E-2</v>
      </c>
      <c r="M192" s="386">
        <f t="shared" si="66"/>
        <v>7.0700000000000013E-2</v>
      </c>
      <c r="N192" s="386">
        <f t="shared" si="66"/>
        <v>7.9200000000000007E-2</v>
      </c>
      <c r="O192" s="386">
        <f t="shared" si="66"/>
        <v>9.1299999999999992E-2</v>
      </c>
      <c r="P192" s="386">
        <f t="shared" si="66"/>
        <v>0.14349999999999999</v>
      </c>
      <c r="Q192" s="386">
        <f t="shared" si="66"/>
        <v>0.18240000000000001</v>
      </c>
      <c r="R192" s="386">
        <f t="shared" si="66"/>
        <v>0.187</v>
      </c>
      <c r="S192" s="386" t="str">
        <f t="shared" si="66"/>
        <v/>
      </c>
      <c r="T192" s="386" t="str">
        <f t="shared" si="66"/>
        <v/>
      </c>
      <c r="U192" s="386" t="str">
        <f t="shared" si="66"/>
        <v/>
      </c>
      <c r="V192" s="386" t="str">
        <f t="shared" si="66"/>
        <v/>
      </c>
      <c r="W192" s="386" t="str">
        <f t="shared" si="66"/>
        <v/>
      </c>
      <c r="X192" s="386" t="str">
        <f t="shared" si="66"/>
        <v/>
      </c>
      <c r="Y192" s="386" t="str">
        <f t="shared" si="66"/>
        <v/>
      </c>
      <c r="Z192" s="386" t="str">
        <f t="shared" si="66"/>
        <v/>
      </c>
      <c r="AA192" s="386" t="str">
        <f t="shared" si="66"/>
        <v/>
      </c>
      <c r="AB192" s="386" t="str">
        <f t="shared" si="66"/>
        <v/>
      </c>
      <c r="AC192" s="386" t="str">
        <f t="shared" si="66"/>
        <v/>
      </c>
      <c r="AD192" s="386" t="str">
        <f t="shared" si="66"/>
        <v/>
      </c>
      <c r="AE192" s="386" t="str">
        <f t="shared" si="66"/>
        <v/>
      </c>
      <c r="AF192" s="386" t="str">
        <f t="shared" si="66"/>
        <v/>
      </c>
      <c r="AG192" s="386" t="str">
        <f t="shared" si="66"/>
        <v/>
      </c>
      <c r="AH192" s="386" t="str">
        <f t="shared" si="66"/>
        <v/>
      </c>
      <c r="AI192" s="386" t="str">
        <f t="shared" si="66"/>
        <v/>
      </c>
      <c r="AJ192" s="386" t="str">
        <f t="shared" si="66"/>
        <v/>
      </c>
      <c r="AK192" s="386" t="str">
        <f t="shared" si="66"/>
        <v/>
      </c>
      <c r="AL192" s="387" t="str">
        <f t="shared" si="66"/>
        <v/>
      </c>
    </row>
    <row r="193" spans="2:39" hidden="1" outlineLevel="2">
      <c r="D193" s="388" t="s">
        <v>592</v>
      </c>
      <c r="E193" s="389" t="s">
        <v>202</v>
      </c>
      <c r="F193" s="390" t="s">
        <v>202</v>
      </c>
      <c r="G193" s="390" t="s">
        <v>202</v>
      </c>
      <c r="H193" s="391" t="s">
        <v>202</v>
      </c>
      <c r="I193" s="392">
        <f t="shared" ref="I193:AL193" si="67">+IF(I6=0,"",I55-I51)</f>
        <v>4.2300000000000004E-2</v>
      </c>
      <c r="J193" s="393">
        <f t="shared" si="67"/>
        <v>2.0999999999999908E-3</v>
      </c>
      <c r="K193" s="393">
        <f t="shared" si="67"/>
        <v>3.7000000000000005E-2</v>
      </c>
      <c r="L193" s="393">
        <f t="shared" si="67"/>
        <v>6.4000000000000015E-2</v>
      </c>
      <c r="M193" s="393">
        <f t="shared" si="67"/>
        <v>7.0700000000000013E-2</v>
      </c>
      <c r="N193" s="393">
        <f t="shared" si="67"/>
        <v>7.9200000000000007E-2</v>
      </c>
      <c r="O193" s="393">
        <f t="shared" si="67"/>
        <v>9.1299999999999992E-2</v>
      </c>
      <c r="P193" s="393">
        <f t="shared" si="67"/>
        <v>0.14349999999999999</v>
      </c>
      <c r="Q193" s="393">
        <f t="shared" si="67"/>
        <v>0.18240000000000001</v>
      </c>
      <c r="R193" s="393">
        <f t="shared" si="67"/>
        <v>0.187</v>
      </c>
      <c r="S193" s="393" t="str">
        <f t="shared" si="67"/>
        <v/>
      </c>
      <c r="T193" s="393" t="str">
        <f t="shared" si="67"/>
        <v/>
      </c>
      <c r="U193" s="393" t="str">
        <f t="shared" si="67"/>
        <v/>
      </c>
      <c r="V193" s="393" t="str">
        <f t="shared" si="67"/>
        <v/>
      </c>
      <c r="W193" s="393" t="str">
        <f t="shared" si="67"/>
        <v/>
      </c>
      <c r="X193" s="393" t="str">
        <f t="shared" si="67"/>
        <v/>
      </c>
      <c r="Y193" s="393" t="str">
        <f t="shared" si="67"/>
        <v/>
      </c>
      <c r="Z193" s="393" t="str">
        <f t="shared" si="67"/>
        <v/>
      </c>
      <c r="AA193" s="393" t="str">
        <f t="shared" si="67"/>
        <v/>
      </c>
      <c r="AB193" s="393" t="str">
        <f t="shared" si="67"/>
        <v/>
      </c>
      <c r="AC193" s="393" t="str">
        <f t="shared" si="67"/>
        <v/>
      </c>
      <c r="AD193" s="393" t="str">
        <f t="shared" si="67"/>
        <v/>
      </c>
      <c r="AE193" s="393" t="str">
        <f t="shared" si="67"/>
        <v/>
      </c>
      <c r="AF193" s="393" t="str">
        <f t="shared" si="67"/>
        <v/>
      </c>
      <c r="AG193" s="393" t="str">
        <f t="shared" si="67"/>
        <v/>
      </c>
      <c r="AH193" s="393" t="str">
        <f t="shared" si="67"/>
        <v/>
      </c>
      <c r="AI193" s="393" t="str">
        <f t="shared" si="67"/>
        <v/>
      </c>
      <c r="AJ193" s="393" t="str">
        <f t="shared" si="67"/>
        <v/>
      </c>
      <c r="AK193" s="393" t="str">
        <f t="shared" si="67"/>
        <v/>
      </c>
      <c r="AL193" s="394" t="str">
        <f t="shared" si="67"/>
        <v/>
      </c>
    </row>
    <row r="194" spans="2:39" hidden="1" outlineLevel="2">
      <c r="D194" s="381" t="s">
        <v>593</v>
      </c>
      <c r="E194" s="382" t="s">
        <v>202</v>
      </c>
      <c r="F194" s="383" t="s">
        <v>202</v>
      </c>
      <c r="G194" s="383" t="s">
        <v>202</v>
      </c>
      <c r="H194" s="384" t="s">
        <v>202</v>
      </c>
      <c r="I194" s="385">
        <f t="shared" ref="I194:AL194" si="68">+IF(I6=0,"",I56-I50)</f>
        <v>4.1999999999999954E-3</v>
      </c>
      <c r="J194" s="386">
        <f t="shared" si="68"/>
        <v>6.5999999999999948E-3</v>
      </c>
      <c r="K194" s="386">
        <f t="shared" si="68"/>
        <v>4.1599999999999998E-2</v>
      </c>
      <c r="L194" s="386">
        <f t="shared" si="68"/>
        <v>6.4000000000000015E-2</v>
      </c>
      <c r="M194" s="386">
        <f t="shared" si="68"/>
        <v>7.0700000000000013E-2</v>
      </c>
      <c r="N194" s="386">
        <f t="shared" si="68"/>
        <v>7.9200000000000007E-2</v>
      </c>
      <c r="O194" s="386">
        <f t="shared" si="68"/>
        <v>9.1299999999999992E-2</v>
      </c>
      <c r="P194" s="386">
        <f t="shared" si="68"/>
        <v>0.14349999999999999</v>
      </c>
      <c r="Q194" s="386">
        <f t="shared" si="68"/>
        <v>0.18240000000000001</v>
      </c>
      <c r="R194" s="386">
        <f t="shared" si="68"/>
        <v>0.187</v>
      </c>
      <c r="S194" s="386" t="str">
        <f t="shared" si="68"/>
        <v/>
      </c>
      <c r="T194" s="386" t="str">
        <f t="shared" si="68"/>
        <v/>
      </c>
      <c r="U194" s="386" t="str">
        <f t="shared" si="68"/>
        <v/>
      </c>
      <c r="V194" s="386" t="str">
        <f t="shared" si="68"/>
        <v/>
      </c>
      <c r="W194" s="386" t="str">
        <f t="shared" si="68"/>
        <v/>
      </c>
      <c r="X194" s="386" t="str">
        <f t="shared" si="68"/>
        <v/>
      </c>
      <c r="Y194" s="386" t="str">
        <f t="shared" si="68"/>
        <v/>
      </c>
      <c r="Z194" s="386" t="str">
        <f t="shared" si="68"/>
        <v/>
      </c>
      <c r="AA194" s="386" t="str">
        <f t="shared" si="68"/>
        <v/>
      </c>
      <c r="AB194" s="386" t="str">
        <f t="shared" si="68"/>
        <v/>
      </c>
      <c r="AC194" s="386" t="str">
        <f t="shared" si="68"/>
        <v/>
      </c>
      <c r="AD194" s="386" t="str">
        <f t="shared" si="68"/>
        <v/>
      </c>
      <c r="AE194" s="386" t="str">
        <f t="shared" si="68"/>
        <v/>
      </c>
      <c r="AF194" s="386" t="str">
        <f t="shared" si="68"/>
        <v/>
      </c>
      <c r="AG194" s="386" t="str">
        <f t="shared" si="68"/>
        <v/>
      </c>
      <c r="AH194" s="386" t="str">
        <f t="shared" si="68"/>
        <v/>
      </c>
      <c r="AI194" s="386" t="str">
        <f t="shared" si="68"/>
        <v/>
      </c>
      <c r="AJ194" s="386" t="str">
        <f t="shared" si="68"/>
        <v/>
      </c>
      <c r="AK194" s="386" t="str">
        <f t="shared" si="68"/>
        <v/>
      </c>
      <c r="AL194" s="387" t="str">
        <f t="shared" si="68"/>
        <v/>
      </c>
    </row>
    <row r="195" spans="2:39" hidden="1" outlineLevel="2">
      <c r="D195" s="388" t="s">
        <v>594</v>
      </c>
      <c r="E195" s="389" t="s">
        <v>202</v>
      </c>
      <c r="F195" s="390" t="s">
        <v>202</v>
      </c>
      <c r="G195" s="390" t="s">
        <v>202</v>
      </c>
      <c r="H195" s="391" t="s">
        <v>202</v>
      </c>
      <c r="I195" s="392">
        <f t="shared" ref="I195:AL195" si="69">+IF(I6=0,"",I56-I51)</f>
        <v>4.6899999999999997E-2</v>
      </c>
      <c r="J195" s="393">
        <f t="shared" si="69"/>
        <v>6.5999999999999948E-3</v>
      </c>
      <c r="K195" s="393">
        <f t="shared" si="69"/>
        <v>4.1599999999999998E-2</v>
      </c>
      <c r="L195" s="393">
        <f t="shared" si="69"/>
        <v>6.4000000000000015E-2</v>
      </c>
      <c r="M195" s="393">
        <f t="shared" si="69"/>
        <v>7.0700000000000013E-2</v>
      </c>
      <c r="N195" s="393">
        <f t="shared" si="69"/>
        <v>7.9200000000000007E-2</v>
      </c>
      <c r="O195" s="393">
        <f t="shared" si="69"/>
        <v>9.1299999999999992E-2</v>
      </c>
      <c r="P195" s="393">
        <f t="shared" si="69"/>
        <v>0.14349999999999999</v>
      </c>
      <c r="Q195" s="393">
        <f t="shared" si="69"/>
        <v>0.18240000000000001</v>
      </c>
      <c r="R195" s="393">
        <f t="shared" si="69"/>
        <v>0.187</v>
      </c>
      <c r="S195" s="393" t="str">
        <f t="shared" si="69"/>
        <v/>
      </c>
      <c r="T195" s="393" t="str">
        <f t="shared" si="69"/>
        <v/>
      </c>
      <c r="U195" s="393" t="str">
        <f t="shared" si="69"/>
        <v/>
      </c>
      <c r="V195" s="393" t="str">
        <f t="shared" si="69"/>
        <v/>
      </c>
      <c r="W195" s="393" t="str">
        <f t="shared" si="69"/>
        <v/>
      </c>
      <c r="X195" s="393" t="str">
        <f t="shared" si="69"/>
        <v/>
      </c>
      <c r="Y195" s="393" t="str">
        <f t="shared" si="69"/>
        <v/>
      </c>
      <c r="Z195" s="393" t="str">
        <f t="shared" si="69"/>
        <v/>
      </c>
      <c r="AA195" s="393" t="str">
        <f t="shared" si="69"/>
        <v/>
      </c>
      <c r="AB195" s="393" t="str">
        <f t="shared" si="69"/>
        <v/>
      </c>
      <c r="AC195" s="393" t="str">
        <f t="shared" si="69"/>
        <v/>
      </c>
      <c r="AD195" s="393" t="str">
        <f t="shared" si="69"/>
        <v/>
      </c>
      <c r="AE195" s="393" t="str">
        <f t="shared" si="69"/>
        <v/>
      </c>
      <c r="AF195" s="393" t="str">
        <f t="shared" si="69"/>
        <v/>
      </c>
      <c r="AG195" s="393" t="str">
        <f t="shared" si="69"/>
        <v/>
      </c>
      <c r="AH195" s="393" t="str">
        <f t="shared" si="69"/>
        <v/>
      </c>
      <c r="AI195" s="393" t="str">
        <f t="shared" si="69"/>
        <v/>
      </c>
      <c r="AJ195" s="393" t="str">
        <f t="shared" si="69"/>
        <v/>
      </c>
      <c r="AK195" s="393" t="str">
        <f t="shared" si="69"/>
        <v/>
      </c>
      <c r="AL195" s="394" t="str">
        <f t="shared" si="69"/>
        <v/>
      </c>
    </row>
    <row r="196" spans="2:39" hidden="1" outlineLevel="1">
      <c r="D196" s="377" t="s">
        <v>595</v>
      </c>
      <c r="E196" s="378"/>
      <c r="F196" s="378"/>
      <c r="G196" s="378"/>
      <c r="H196" s="378"/>
      <c r="I196" s="380"/>
      <c r="J196" s="380"/>
      <c r="K196" s="380"/>
      <c r="L196" s="380"/>
      <c r="M196" s="380"/>
      <c r="N196" s="380"/>
      <c r="O196" s="380"/>
      <c r="P196" s="380"/>
      <c r="Q196" s="380"/>
      <c r="R196" s="380"/>
      <c r="S196" s="380"/>
      <c r="T196" s="380"/>
      <c r="U196" s="380"/>
      <c r="V196" s="380"/>
      <c r="W196" s="380"/>
      <c r="X196" s="380"/>
      <c r="Y196" s="380"/>
      <c r="Z196" s="380"/>
      <c r="AA196" s="380"/>
      <c r="AB196" s="380"/>
      <c r="AC196" s="380"/>
      <c r="AD196" s="380"/>
      <c r="AE196" s="380"/>
      <c r="AF196" s="380"/>
      <c r="AG196" s="380"/>
      <c r="AH196" s="380"/>
      <c r="AI196" s="380"/>
      <c r="AJ196" s="380"/>
      <c r="AK196" s="380"/>
      <c r="AL196" s="380"/>
    </row>
    <row r="197" spans="2:39" hidden="1" outlineLevel="2">
      <c r="D197" s="224">
        <v>0.05</v>
      </c>
      <c r="E197" s="379" t="str">
        <f>+"zmiana większa niż +/- "&amp;TEXT(D197*100,"0,0")&amp;"%"</f>
        <v>zmiana większa niż +/- 5,0%</v>
      </c>
      <c r="F197" s="225"/>
      <c r="G197" s="225"/>
      <c r="H197" s="225"/>
      <c r="J197" s="380"/>
      <c r="K197" s="380"/>
      <c r="L197" s="380"/>
      <c r="M197" s="380"/>
      <c r="N197" s="380"/>
      <c r="O197" s="380"/>
      <c r="P197" s="380"/>
      <c r="Q197" s="380"/>
      <c r="R197" s="380"/>
      <c r="S197" s="380"/>
      <c r="T197" s="380"/>
      <c r="U197" s="380"/>
      <c r="V197" s="380"/>
      <c r="W197" s="380"/>
      <c r="X197" s="380"/>
      <c r="Y197" s="380"/>
      <c r="Z197" s="380"/>
      <c r="AA197" s="380"/>
      <c r="AB197" s="380"/>
      <c r="AC197" s="380"/>
      <c r="AD197" s="380"/>
      <c r="AE197" s="380"/>
      <c r="AF197" s="380"/>
      <c r="AG197" s="380"/>
      <c r="AH197" s="380"/>
      <c r="AI197" s="380"/>
      <c r="AJ197" s="380"/>
      <c r="AK197" s="380"/>
      <c r="AL197" s="380"/>
    </row>
    <row r="198" spans="2:39" hidden="1" outlineLevel="2">
      <c r="D198" s="226">
        <v>0.1</v>
      </c>
      <c r="E198" s="379" t="str">
        <f>+"zmiana większa niż +/- "&amp;TEXT(D198*100,"0,0")&amp;"%"</f>
        <v>zmiana większa niż +/- 10,0%</v>
      </c>
      <c r="F198" s="225"/>
      <c r="G198" s="225"/>
      <c r="H198" s="225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  <c r="V198" s="380"/>
      <c r="W198" s="380"/>
      <c r="X198" s="380"/>
      <c r="Y198" s="380"/>
      <c r="Z198" s="380"/>
      <c r="AA198" s="380"/>
      <c r="AB198" s="380"/>
      <c r="AC198" s="380"/>
      <c r="AD198" s="380"/>
      <c r="AE198" s="380"/>
      <c r="AF198" s="380"/>
      <c r="AG198" s="380"/>
      <c r="AH198" s="380"/>
      <c r="AI198" s="380"/>
      <c r="AJ198" s="380"/>
      <c r="AK198" s="380"/>
      <c r="AL198" s="380"/>
    </row>
    <row r="199" spans="2:39" ht="228" hidden="1" outlineLevel="2">
      <c r="D199" s="227">
        <v>0.2</v>
      </c>
      <c r="E199" s="379" t="str">
        <f>+"zmiana większa niż +/- "&amp;TEXT(D199*100,"0,0")&amp;"%"</f>
        <v>zmiana większa niż +/- 20,0%</v>
      </c>
      <c r="F199" s="225"/>
      <c r="G199" s="228" t="s">
        <v>596</v>
      </c>
      <c r="H199" s="228" t="s">
        <v>597</v>
      </c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  <c r="U199" s="380"/>
      <c r="V199" s="380"/>
      <c r="W199" s="380"/>
      <c r="X199" s="380"/>
      <c r="Y199" s="380"/>
      <c r="Z199" s="380"/>
      <c r="AA199" s="380"/>
      <c r="AB199" s="380"/>
      <c r="AC199" s="380"/>
      <c r="AD199" s="380"/>
      <c r="AE199" s="380"/>
      <c r="AF199" s="380"/>
      <c r="AG199" s="380"/>
      <c r="AH199" s="380"/>
      <c r="AI199" s="380"/>
      <c r="AJ199" s="380"/>
      <c r="AK199" s="380"/>
      <c r="AL199" s="380"/>
    </row>
    <row r="200" spans="2:39" hidden="1" outlineLevel="2">
      <c r="B200" s="395"/>
      <c r="C200" s="396"/>
      <c r="D200" s="397" t="s">
        <v>203</v>
      </c>
      <c r="E200" s="398" t="s">
        <v>598</v>
      </c>
      <c r="F200" s="399">
        <f t="shared" ref="F200:AL200" si="70">+IF(F6=0,0,IF(E226&lt;&gt;0,F226/E226-1,0))</f>
        <v>8.062107734029178E-2</v>
      </c>
      <c r="G200" s="399">
        <f t="shared" si="70"/>
        <v>0.19233642354751712</v>
      </c>
      <c r="H200" s="400">
        <f t="shared" si="70"/>
        <v>-0.1638074009555518</v>
      </c>
      <c r="I200" s="229">
        <f t="shared" si="70"/>
        <v>9.3632446165559102E-2</v>
      </c>
      <c r="J200" s="230">
        <f t="shared" si="70"/>
        <v>-6.1403260835354412E-2</v>
      </c>
      <c r="K200" s="230">
        <f t="shared" si="70"/>
        <v>2.5172732135986475E-2</v>
      </c>
      <c r="L200" s="230">
        <f t="shared" si="70"/>
        <v>5.717984907155893E-2</v>
      </c>
      <c r="M200" s="230">
        <f t="shared" si="70"/>
        <v>8.2287263509841502E-3</v>
      </c>
      <c r="N200" s="230">
        <f t="shared" si="70"/>
        <v>4.7951746137190998E-2</v>
      </c>
      <c r="O200" s="230">
        <f t="shared" si="70"/>
        <v>2.7186998174990151E-2</v>
      </c>
      <c r="P200" s="230">
        <f t="shared" si="70"/>
        <v>9.8989878763786399E-2</v>
      </c>
      <c r="Q200" s="230">
        <f t="shared" si="70"/>
        <v>9.7495083897451096E-2</v>
      </c>
      <c r="R200" s="230">
        <f t="shared" si="70"/>
        <v>5.1398460325944306E-2</v>
      </c>
      <c r="S200" s="230">
        <f t="shared" si="70"/>
        <v>0</v>
      </c>
      <c r="T200" s="230">
        <f t="shared" si="70"/>
        <v>0</v>
      </c>
      <c r="U200" s="230">
        <f t="shared" si="70"/>
        <v>0</v>
      </c>
      <c r="V200" s="230">
        <f t="shared" si="70"/>
        <v>0</v>
      </c>
      <c r="W200" s="230">
        <f t="shared" si="70"/>
        <v>0</v>
      </c>
      <c r="X200" s="230">
        <f t="shared" si="70"/>
        <v>0</v>
      </c>
      <c r="Y200" s="230">
        <f t="shared" si="70"/>
        <v>0</v>
      </c>
      <c r="Z200" s="230">
        <f t="shared" si="70"/>
        <v>0</v>
      </c>
      <c r="AA200" s="230">
        <f t="shared" si="70"/>
        <v>0</v>
      </c>
      <c r="AB200" s="230">
        <f t="shared" si="70"/>
        <v>0</v>
      </c>
      <c r="AC200" s="230">
        <f t="shared" si="70"/>
        <v>0</v>
      </c>
      <c r="AD200" s="230">
        <f t="shared" si="70"/>
        <v>0</v>
      </c>
      <c r="AE200" s="230">
        <f t="shared" si="70"/>
        <v>0</v>
      </c>
      <c r="AF200" s="230">
        <f t="shared" si="70"/>
        <v>0</v>
      </c>
      <c r="AG200" s="230">
        <f t="shared" si="70"/>
        <v>0</v>
      </c>
      <c r="AH200" s="230">
        <f t="shared" si="70"/>
        <v>0</v>
      </c>
      <c r="AI200" s="230">
        <f t="shared" si="70"/>
        <v>0</v>
      </c>
      <c r="AJ200" s="230">
        <f t="shared" si="70"/>
        <v>0</v>
      </c>
      <c r="AK200" s="230">
        <f t="shared" si="70"/>
        <v>0</v>
      </c>
      <c r="AL200" s="231">
        <f t="shared" si="70"/>
        <v>0</v>
      </c>
      <c r="AM200" s="401"/>
    </row>
    <row r="201" spans="2:39" ht="15" hidden="1" outlineLevel="2">
      <c r="B201" s="402"/>
      <c r="C201" s="403"/>
      <c r="D201" s="404" t="s">
        <v>599</v>
      </c>
      <c r="E201" s="405" t="s">
        <v>598</v>
      </c>
      <c r="F201" s="406">
        <f t="shared" ref="F201:AL201" si="71">+IF(F6=0,0,IF(E227&lt;&gt;0,F227/E227-1,0))</f>
        <v>8.0305156629977059E-2</v>
      </c>
      <c r="G201" s="406">
        <f t="shared" si="71"/>
        <v>0.24964380182397017</v>
      </c>
      <c r="H201" s="407">
        <f t="shared" si="71"/>
        <v>-0.16320411080216124</v>
      </c>
      <c r="I201" s="232">
        <f t="shared" si="71"/>
        <v>0.13368203238216991</v>
      </c>
      <c r="J201" s="233">
        <f t="shared" si="71"/>
        <v>-8.7590894440506828E-3</v>
      </c>
      <c r="K201" s="233">
        <f t="shared" si="71"/>
        <v>2.1843217534148751E-2</v>
      </c>
      <c r="L201" s="233">
        <f t="shared" si="71"/>
        <v>3.768653879149686E-2</v>
      </c>
      <c r="M201" s="233">
        <f t="shared" si="71"/>
        <v>3.93766957189845E-3</v>
      </c>
      <c r="N201" s="233">
        <f t="shared" si="71"/>
        <v>3.6763501965711765E-2</v>
      </c>
      <c r="O201" s="233">
        <f t="shared" si="71"/>
        <v>4.0317273013605659E-2</v>
      </c>
      <c r="P201" s="233">
        <f t="shared" si="71"/>
        <v>4.0615692269170056E-2</v>
      </c>
      <c r="Q201" s="233">
        <f t="shared" si="71"/>
        <v>3.9390024640816534E-2</v>
      </c>
      <c r="R201" s="233">
        <f t="shared" si="71"/>
        <v>3.8275313178811166E-2</v>
      </c>
      <c r="S201" s="233">
        <f t="shared" si="71"/>
        <v>0</v>
      </c>
      <c r="T201" s="233">
        <f t="shared" si="71"/>
        <v>0</v>
      </c>
      <c r="U201" s="233">
        <f t="shared" si="71"/>
        <v>0</v>
      </c>
      <c r="V201" s="233">
        <f t="shared" si="71"/>
        <v>0</v>
      </c>
      <c r="W201" s="233">
        <f t="shared" si="71"/>
        <v>0</v>
      </c>
      <c r="X201" s="233">
        <f t="shared" si="71"/>
        <v>0</v>
      </c>
      <c r="Y201" s="233">
        <f t="shared" si="71"/>
        <v>0</v>
      </c>
      <c r="Z201" s="233">
        <f t="shared" si="71"/>
        <v>0</v>
      </c>
      <c r="AA201" s="233">
        <f t="shared" si="71"/>
        <v>0</v>
      </c>
      <c r="AB201" s="233">
        <f t="shared" si="71"/>
        <v>0</v>
      </c>
      <c r="AC201" s="233">
        <f t="shared" si="71"/>
        <v>0</v>
      </c>
      <c r="AD201" s="233">
        <f t="shared" si="71"/>
        <v>0</v>
      </c>
      <c r="AE201" s="233">
        <f t="shared" si="71"/>
        <v>0</v>
      </c>
      <c r="AF201" s="233">
        <f t="shared" si="71"/>
        <v>0</v>
      </c>
      <c r="AG201" s="233">
        <f t="shared" si="71"/>
        <v>0</v>
      </c>
      <c r="AH201" s="233">
        <f t="shared" si="71"/>
        <v>0</v>
      </c>
      <c r="AI201" s="233">
        <f t="shared" si="71"/>
        <v>0</v>
      </c>
      <c r="AJ201" s="233">
        <f t="shared" si="71"/>
        <v>0</v>
      </c>
      <c r="AK201" s="233">
        <f t="shared" si="71"/>
        <v>0</v>
      </c>
      <c r="AL201" s="234">
        <f t="shared" si="71"/>
        <v>0</v>
      </c>
      <c r="AM201" s="347"/>
    </row>
    <row r="202" spans="2:39" ht="15" hidden="1" outlineLevel="2">
      <c r="B202" s="402"/>
      <c r="C202" s="403"/>
      <c r="D202" s="408" t="s">
        <v>600</v>
      </c>
      <c r="E202" s="409" t="s">
        <v>598</v>
      </c>
      <c r="F202" s="410">
        <f t="shared" ref="F202:AL202" si="72">+IF(F6=0,0,IF(E228&lt;&gt;0,F228/E228-1,0))</f>
        <v>0.16413776243559997</v>
      </c>
      <c r="G202" s="410">
        <f t="shared" si="72"/>
        <v>8.8087993730597614E-2</v>
      </c>
      <c r="H202" s="411">
        <f t="shared" si="72"/>
        <v>-7.0049422551448082E-2</v>
      </c>
      <c r="I202" s="232">
        <f t="shared" si="72"/>
        <v>4.6296560909893314E-2</v>
      </c>
      <c r="J202" s="233">
        <f t="shared" si="72"/>
        <v>5.7088419388414247E-2</v>
      </c>
      <c r="K202" s="233">
        <f t="shared" si="72"/>
        <v>4.8727514603893018E-2</v>
      </c>
      <c r="L202" s="233">
        <f t="shared" si="72"/>
        <v>3.9776713835941502E-2</v>
      </c>
      <c r="M202" s="233">
        <f t="shared" si="72"/>
        <v>4.4214880868791884E-2</v>
      </c>
      <c r="N202" s="233">
        <f t="shared" si="72"/>
        <v>4.9527299691901838E-2</v>
      </c>
      <c r="O202" s="233">
        <f t="shared" si="72"/>
        <v>4.1601715615392498E-2</v>
      </c>
      <c r="P202" s="233">
        <f t="shared" si="72"/>
        <v>4.1539389967150342E-2</v>
      </c>
      <c r="Q202" s="233">
        <f t="shared" si="72"/>
        <v>3.7371759128705939E-2</v>
      </c>
      <c r="R202" s="233">
        <f t="shared" si="72"/>
        <v>3.9962596852940901E-2</v>
      </c>
      <c r="S202" s="233">
        <f t="shared" si="72"/>
        <v>0</v>
      </c>
      <c r="T202" s="233">
        <f t="shared" si="72"/>
        <v>0</v>
      </c>
      <c r="U202" s="233">
        <f t="shared" si="72"/>
        <v>0</v>
      </c>
      <c r="V202" s="233">
        <f t="shared" si="72"/>
        <v>0</v>
      </c>
      <c r="W202" s="233">
        <f t="shared" si="72"/>
        <v>0</v>
      </c>
      <c r="X202" s="233">
        <f t="shared" si="72"/>
        <v>0</v>
      </c>
      <c r="Y202" s="233">
        <f t="shared" si="72"/>
        <v>0</v>
      </c>
      <c r="Z202" s="233">
        <f t="shared" si="72"/>
        <v>0</v>
      </c>
      <c r="AA202" s="233">
        <f t="shared" si="72"/>
        <v>0</v>
      </c>
      <c r="AB202" s="233">
        <f t="shared" si="72"/>
        <v>0</v>
      </c>
      <c r="AC202" s="233">
        <f t="shared" si="72"/>
        <v>0</v>
      </c>
      <c r="AD202" s="233">
        <f t="shared" si="72"/>
        <v>0</v>
      </c>
      <c r="AE202" s="233">
        <f t="shared" si="72"/>
        <v>0</v>
      </c>
      <c r="AF202" s="233">
        <f t="shared" si="72"/>
        <v>0</v>
      </c>
      <c r="AG202" s="233">
        <f t="shared" si="72"/>
        <v>0</v>
      </c>
      <c r="AH202" s="233">
        <f t="shared" si="72"/>
        <v>0</v>
      </c>
      <c r="AI202" s="233">
        <f t="shared" si="72"/>
        <v>0</v>
      </c>
      <c r="AJ202" s="233">
        <f t="shared" si="72"/>
        <v>0</v>
      </c>
      <c r="AK202" s="233">
        <f t="shared" si="72"/>
        <v>0</v>
      </c>
      <c r="AL202" s="234">
        <f t="shared" si="72"/>
        <v>0</v>
      </c>
      <c r="AM202" s="347"/>
    </row>
    <row r="203" spans="2:39" ht="15" hidden="1" outlineLevel="2">
      <c r="B203" s="402"/>
      <c r="C203" s="403"/>
      <c r="D203" s="408" t="s">
        <v>601</v>
      </c>
      <c r="E203" s="409" t="s">
        <v>598</v>
      </c>
      <c r="F203" s="410">
        <f t="shared" ref="F203:AL203" si="73">+IF(F6=0,0,IF(E229&lt;&gt;0,F229/E229-1,0))</f>
        <v>-0.65155643953033238</v>
      </c>
      <c r="G203" s="410">
        <f t="shared" si="73"/>
        <v>4.9617004521872143</v>
      </c>
      <c r="H203" s="411">
        <f t="shared" si="73"/>
        <v>-0.65909543605912124</v>
      </c>
      <c r="I203" s="232">
        <f t="shared" si="73"/>
        <v>1.4026424663189769</v>
      </c>
      <c r="J203" s="233">
        <f t="shared" si="73"/>
        <v>-0.42516208534107325</v>
      </c>
      <c r="K203" s="233">
        <f t="shared" si="73"/>
        <v>-0.29079285895805285</v>
      </c>
      <c r="L203" s="233">
        <f t="shared" si="73"/>
        <v>1.7436791630340842E-3</v>
      </c>
      <c r="M203" s="233">
        <f t="shared" si="73"/>
        <v>-0.71496953872932978</v>
      </c>
      <c r="N203" s="233">
        <f t="shared" si="73"/>
        <v>-0.79786259541984728</v>
      </c>
      <c r="O203" s="233">
        <f t="shared" si="73"/>
        <v>-0.39577039274924475</v>
      </c>
      <c r="P203" s="233">
        <f t="shared" si="73"/>
        <v>-0.5</v>
      </c>
      <c r="Q203" s="233">
        <f t="shared" si="73"/>
        <v>2.5</v>
      </c>
      <c r="R203" s="233">
        <f t="shared" si="73"/>
        <v>-0.5714285714285714</v>
      </c>
      <c r="S203" s="233">
        <f t="shared" si="73"/>
        <v>0</v>
      </c>
      <c r="T203" s="233">
        <f t="shared" si="73"/>
        <v>0</v>
      </c>
      <c r="U203" s="233">
        <f t="shared" si="73"/>
        <v>0</v>
      </c>
      <c r="V203" s="233">
        <f t="shared" si="73"/>
        <v>0</v>
      </c>
      <c r="W203" s="233">
        <f t="shared" si="73"/>
        <v>0</v>
      </c>
      <c r="X203" s="233">
        <f t="shared" si="73"/>
        <v>0</v>
      </c>
      <c r="Y203" s="233">
        <f t="shared" si="73"/>
        <v>0</v>
      </c>
      <c r="Z203" s="233">
        <f t="shared" si="73"/>
        <v>0</v>
      </c>
      <c r="AA203" s="233">
        <f t="shared" si="73"/>
        <v>0</v>
      </c>
      <c r="AB203" s="233">
        <f t="shared" si="73"/>
        <v>0</v>
      </c>
      <c r="AC203" s="233">
        <f t="shared" si="73"/>
        <v>0</v>
      </c>
      <c r="AD203" s="233">
        <f t="shared" si="73"/>
        <v>0</v>
      </c>
      <c r="AE203" s="233">
        <f t="shared" si="73"/>
        <v>0</v>
      </c>
      <c r="AF203" s="233">
        <f t="shared" si="73"/>
        <v>0</v>
      </c>
      <c r="AG203" s="233">
        <f t="shared" si="73"/>
        <v>0</v>
      </c>
      <c r="AH203" s="233">
        <f t="shared" si="73"/>
        <v>0</v>
      </c>
      <c r="AI203" s="233">
        <f t="shared" si="73"/>
        <v>0</v>
      </c>
      <c r="AJ203" s="233">
        <f t="shared" si="73"/>
        <v>0</v>
      </c>
      <c r="AK203" s="233">
        <f t="shared" si="73"/>
        <v>0</v>
      </c>
      <c r="AL203" s="234">
        <f t="shared" si="73"/>
        <v>0</v>
      </c>
      <c r="AM203" s="347"/>
    </row>
    <row r="204" spans="2:39" ht="24" hidden="1" outlineLevel="2">
      <c r="B204" s="402"/>
      <c r="C204" s="403"/>
      <c r="D204" s="408" t="s">
        <v>602</v>
      </c>
      <c r="E204" s="409" t="s">
        <v>598</v>
      </c>
      <c r="F204" s="410">
        <f t="shared" ref="F204:AL204" si="74">+IF(F6=0,0,IF(E230&lt;&gt;0,F230/E230-1,0))</f>
        <v>10.542979325731178</v>
      </c>
      <c r="G204" s="410">
        <f t="shared" si="74"/>
        <v>3.2844832535790456</v>
      </c>
      <c r="H204" s="411">
        <f t="shared" si="74"/>
        <v>-0.97187797833934997</v>
      </c>
      <c r="I204" s="232">
        <f t="shared" si="74"/>
        <v>5.5564199337594928</v>
      </c>
      <c r="J204" s="233">
        <f t="shared" si="74"/>
        <v>-0.14906839594934329</v>
      </c>
      <c r="K204" s="233">
        <f t="shared" si="74"/>
        <v>-9.3415064036189821E-2</v>
      </c>
      <c r="L204" s="233">
        <f t="shared" si="74"/>
        <v>0.51776649746192893</v>
      </c>
      <c r="M204" s="233">
        <f t="shared" si="74"/>
        <v>-0.5735785953177257</v>
      </c>
      <c r="N204" s="233">
        <f t="shared" si="74"/>
        <v>-0.48078431372549024</v>
      </c>
      <c r="O204" s="233">
        <f t="shared" si="74"/>
        <v>-0.39577039274924475</v>
      </c>
      <c r="P204" s="233">
        <f t="shared" si="74"/>
        <v>-0.5</v>
      </c>
      <c r="Q204" s="233">
        <f t="shared" si="74"/>
        <v>2.5</v>
      </c>
      <c r="R204" s="233">
        <f t="shared" si="74"/>
        <v>-0.5714285714285714</v>
      </c>
      <c r="S204" s="233">
        <f t="shared" si="74"/>
        <v>0</v>
      </c>
      <c r="T204" s="233">
        <f t="shared" si="74"/>
        <v>0</v>
      </c>
      <c r="U204" s="233">
        <f t="shared" si="74"/>
        <v>0</v>
      </c>
      <c r="V204" s="233">
        <f t="shared" si="74"/>
        <v>0</v>
      </c>
      <c r="W204" s="233">
        <f t="shared" si="74"/>
        <v>0</v>
      </c>
      <c r="X204" s="233">
        <f t="shared" si="74"/>
        <v>0</v>
      </c>
      <c r="Y204" s="233">
        <f t="shared" si="74"/>
        <v>0</v>
      </c>
      <c r="Z204" s="233">
        <f t="shared" si="74"/>
        <v>0</v>
      </c>
      <c r="AA204" s="233">
        <f t="shared" si="74"/>
        <v>0</v>
      </c>
      <c r="AB204" s="233">
        <f t="shared" si="74"/>
        <v>0</v>
      </c>
      <c r="AC204" s="233">
        <f t="shared" si="74"/>
        <v>0</v>
      </c>
      <c r="AD204" s="233">
        <f t="shared" si="74"/>
        <v>0</v>
      </c>
      <c r="AE204" s="233">
        <f t="shared" si="74"/>
        <v>0</v>
      </c>
      <c r="AF204" s="233">
        <f t="shared" si="74"/>
        <v>0</v>
      </c>
      <c r="AG204" s="233">
        <f t="shared" si="74"/>
        <v>0</v>
      </c>
      <c r="AH204" s="233">
        <f t="shared" si="74"/>
        <v>0</v>
      </c>
      <c r="AI204" s="233">
        <f t="shared" si="74"/>
        <v>0</v>
      </c>
      <c r="AJ204" s="233">
        <f t="shared" si="74"/>
        <v>0</v>
      </c>
      <c r="AK204" s="233">
        <f t="shared" si="74"/>
        <v>0</v>
      </c>
      <c r="AL204" s="234">
        <f t="shared" si="74"/>
        <v>0</v>
      </c>
      <c r="AM204" s="347"/>
    </row>
    <row r="205" spans="2:39" ht="15" hidden="1" outlineLevel="2">
      <c r="B205" s="402"/>
      <c r="C205" s="403"/>
      <c r="D205" s="412" t="s">
        <v>603</v>
      </c>
      <c r="E205" s="413" t="s">
        <v>598</v>
      </c>
      <c r="F205" s="414">
        <f t="shared" ref="F205:AL205" si="75">+IF(F6=0,0,IF(E231&lt;&gt;0,F231/E231-1,0))</f>
        <v>-0.84441431801223288</v>
      </c>
      <c r="G205" s="414">
        <f t="shared" si="75"/>
        <v>7.1054245695383251</v>
      </c>
      <c r="H205" s="415">
        <f t="shared" si="75"/>
        <v>-0.44777340644009422</v>
      </c>
      <c r="I205" s="235">
        <f t="shared" si="75"/>
        <v>1.259728485882599</v>
      </c>
      <c r="J205" s="236">
        <f t="shared" si="75"/>
        <v>-0.45272330745887313</v>
      </c>
      <c r="K205" s="236">
        <f t="shared" si="75"/>
        <v>-0.3214285714285714</v>
      </c>
      <c r="L205" s="236">
        <f t="shared" si="75"/>
        <v>-0.10526315789473684</v>
      </c>
      <c r="M205" s="236">
        <f t="shared" si="75"/>
        <v>-0.76470588235294112</v>
      </c>
      <c r="N205" s="236">
        <f t="shared" si="75"/>
        <v>-1</v>
      </c>
      <c r="O205" s="236">
        <f t="shared" si="75"/>
        <v>0</v>
      </c>
      <c r="P205" s="236">
        <f t="shared" si="75"/>
        <v>0</v>
      </c>
      <c r="Q205" s="236">
        <f t="shared" si="75"/>
        <v>0</v>
      </c>
      <c r="R205" s="236">
        <f t="shared" si="75"/>
        <v>0</v>
      </c>
      <c r="S205" s="236">
        <f t="shared" si="75"/>
        <v>0</v>
      </c>
      <c r="T205" s="236">
        <f t="shared" si="75"/>
        <v>0</v>
      </c>
      <c r="U205" s="236">
        <f t="shared" si="75"/>
        <v>0</v>
      </c>
      <c r="V205" s="236">
        <f t="shared" si="75"/>
        <v>0</v>
      </c>
      <c r="W205" s="236">
        <f t="shared" si="75"/>
        <v>0</v>
      </c>
      <c r="X205" s="236">
        <f t="shared" si="75"/>
        <v>0</v>
      </c>
      <c r="Y205" s="236">
        <f t="shared" si="75"/>
        <v>0</v>
      </c>
      <c r="Z205" s="236">
        <f t="shared" si="75"/>
        <v>0</v>
      </c>
      <c r="AA205" s="236">
        <f t="shared" si="75"/>
        <v>0</v>
      </c>
      <c r="AB205" s="236">
        <f t="shared" si="75"/>
        <v>0</v>
      </c>
      <c r="AC205" s="236">
        <f t="shared" si="75"/>
        <v>0</v>
      </c>
      <c r="AD205" s="236">
        <f t="shared" si="75"/>
        <v>0</v>
      </c>
      <c r="AE205" s="236">
        <f t="shared" si="75"/>
        <v>0</v>
      </c>
      <c r="AF205" s="236">
        <f t="shared" si="75"/>
        <v>0</v>
      </c>
      <c r="AG205" s="236">
        <f t="shared" si="75"/>
        <v>0</v>
      </c>
      <c r="AH205" s="236">
        <f t="shared" si="75"/>
        <v>0</v>
      </c>
      <c r="AI205" s="236">
        <f t="shared" si="75"/>
        <v>0</v>
      </c>
      <c r="AJ205" s="236">
        <f t="shared" si="75"/>
        <v>0</v>
      </c>
      <c r="AK205" s="236">
        <f t="shared" si="75"/>
        <v>0</v>
      </c>
      <c r="AL205" s="237">
        <f t="shared" si="75"/>
        <v>0</v>
      </c>
      <c r="AM205" s="347"/>
    </row>
    <row r="206" spans="2:39" hidden="1" outlineLevel="2">
      <c r="B206" s="395"/>
      <c r="C206" s="396"/>
      <c r="D206" s="397" t="s">
        <v>228</v>
      </c>
      <c r="E206" s="398" t="s">
        <v>598</v>
      </c>
      <c r="F206" s="399">
        <f t="shared" ref="F206:AL206" si="76">+IF(F6=0,0,IF(E232&lt;&gt;0,F232/E232-1,0))</f>
        <v>0.30162298725766168</v>
      </c>
      <c r="G206" s="399">
        <f t="shared" si="76"/>
        <v>-3.0589327161878566E-2</v>
      </c>
      <c r="H206" s="400">
        <f t="shared" si="76"/>
        <v>-0.16444531256376682</v>
      </c>
      <c r="I206" s="229">
        <f t="shared" si="76"/>
        <v>1.9495361339921358E-2</v>
      </c>
      <c r="J206" s="230">
        <f t="shared" si="76"/>
        <v>-7.1466276866403056E-2</v>
      </c>
      <c r="K206" s="230">
        <f t="shared" si="76"/>
        <v>2.7793044787384646E-2</v>
      </c>
      <c r="L206" s="230">
        <f t="shared" si="76"/>
        <v>6.2970936072279216E-2</v>
      </c>
      <c r="M206" s="230">
        <f t="shared" si="76"/>
        <v>9.0127484688131698E-3</v>
      </c>
      <c r="N206" s="230">
        <f t="shared" si="76"/>
        <v>5.2479715374742941E-2</v>
      </c>
      <c r="O206" s="230">
        <f t="shared" si="76"/>
        <v>3.1463374193764659E-2</v>
      </c>
      <c r="P206" s="230">
        <f t="shared" si="76"/>
        <v>0.14765072519564271</v>
      </c>
      <c r="Q206" s="230">
        <f t="shared" si="76"/>
        <v>0.12658071912603219</v>
      </c>
      <c r="R206" s="230">
        <f t="shared" si="76"/>
        <v>5.2030886962310063E-2</v>
      </c>
      <c r="S206" s="230">
        <f t="shared" si="76"/>
        <v>0</v>
      </c>
      <c r="T206" s="230">
        <f t="shared" si="76"/>
        <v>0</v>
      </c>
      <c r="U206" s="230">
        <f t="shared" si="76"/>
        <v>0</v>
      </c>
      <c r="V206" s="230">
        <f t="shared" si="76"/>
        <v>0</v>
      </c>
      <c r="W206" s="230">
        <f t="shared" si="76"/>
        <v>0</v>
      </c>
      <c r="X206" s="230">
        <f t="shared" si="76"/>
        <v>0</v>
      </c>
      <c r="Y206" s="230">
        <f t="shared" si="76"/>
        <v>0</v>
      </c>
      <c r="Z206" s="230">
        <f t="shared" si="76"/>
        <v>0</v>
      </c>
      <c r="AA206" s="230">
        <f t="shared" si="76"/>
        <v>0</v>
      </c>
      <c r="AB206" s="230">
        <f t="shared" si="76"/>
        <v>0</v>
      </c>
      <c r="AC206" s="230">
        <f t="shared" si="76"/>
        <v>0</v>
      </c>
      <c r="AD206" s="230">
        <f t="shared" si="76"/>
        <v>0</v>
      </c>
      <c r="AE206" s="230">
        <f t="shared" si="76"/>
        <v>0</v>
      </c>
      <c r="AF206" s="230">
        <f t="shared" si="76"/>
        <v>0</v>
      </c>
      <c r="AG206" s="230">
        <f t="shared" si="76"/>
        <v>0</v>
      </c>
      <c r="AH206" s="230">
        <f t="shared" si="76"/>
        <v>0</v>
      </c>
      <c r="AI206" s="230">
        <f t="shared" si="76"/>
        <v>0</v>
      </c>
      <c r="AJ206" s="230">
        <f t="shared" si="76"/>
        <v>0</v>
      </c>
      <c r="AK206" s="230">
        <f t="shared" si="76"/>
        <v>0</v>
      </c>
      <c r="AL206" s="231">
        <f t="shared" si="76"/>
        <v>0</v>
      </c>
      <c r="AM206" s="401"/>
    </row>
    <row r="207" spans="2:39" ht="24" hidden="1" outlineLevel="2">
      <c r="B207" s="402"/>
      <c r="C207" s="403"/>
      <c r="D207" s="416" t="s">
        <v>604</v>
      </c>
      <c r="E207" s="409" t="s">
        <v>598</v>
      </c>
      <c r="F207" s="410">
        <f t="shared" ref="F207:AL207" si="77">+IF(F6=0,0,IF(E233&lt;&gt;0,F233/E233-1,0))</f>
        <v>-0.10610250115341913</v>
      </c>
      <c r="G207" s="410">
        <f t="shared" si="77"/>
        <v>0.27393838825864458</v>
      </c>
      <c r="H207" s="411">
        <f t="shared" si="77"/>
        <v>-0.16790215215341753</v>
      </c>
      <c r="I207" s="232">
        <f t="shared" si="77"/>
        <v>2.7090438793117455E-2</v>
      </c>
      <c r="J207" s="233">
        <f t="shared" si="77"/>
        <v>4.3306669776757012E-3</v>
      </c>
      <c r="K207" s="233">
        <f t="shared" si="77"/>
        <v>2.5646205817569045E-2</v>
      </c>
      <c r="L207" s="233">
        <f t="shared" si="77"/>
        <v>3.4057296393380065E-2</v>
      </c>
      <c r="M207" s="233">
        <f t="shared" si="77"/>
        <v>-3.0280006176870877E-2</v>
      </c>
      <c r="N207" s="233">
        <f t="shared" si="77"/>
        <v>2.7713689400773012E-2</v>
      </c>
      <c r="O207" s="233">
        <f t="shared" si="77"/>
        <v>4.0247527887040224E-2</v>
      </c>
      <c r="P207" s="233">
        <f t="shared" si="77"/>
        <v>3.4238233814470886E-2</v>
      </c>
      <c r="Q207" s="233">
        <f t="shared" si="77"/>
        <v>-3.0424324224489485E-3</v>
      </c>
      <c r="R207" s="233">
        <f t="shared" si="77"/>
        <v>4.13115189036799E-2</v>
      </c>
      <c r="S207" s="233">
        <f t="shared" si="77"/>
        <v>0</v>
      </c>
      <c r="T207" s="233">
        <f t="shared" si="77"/>
        <v>0</v>
      </c>
      <c r="U207" s="233">
        <f t="shared" si="77"/>
        <v>0</v>
      </c>
      <c r="V207" s="233">
        <f t="shared" si="77"/>
        <v>0</v>
      </c>
      <c r="W207" s="233">
        <f t="shared" si="77"/>
        <v>0</v>
      </c>
      <c r="X207" s="233">
        <f t="shared" si="77"/>
        <v>0</v>
      </c>
      <c r="Y207" s="233">
        <f t="shared" si="77"/>
        <v>0</v>
      </c>
      <c r="Z207" s="233">
        <f t="shared" si="77"/>
        <v>0</v>
      </c>
      <c r="AA207" s="233">
        <f t="shared" si="77"/>
        <v>0</v>
      </c>
      <c r="AB207" s="233">
        <f t="shared" si="77"/>
        <v>0</v>
      </c>
      <c r="AC207" s="233">
        <f t="shared" si="77"/>
        <v>0</v>
      </c>
      <c r="AD207" s="233">
        <f t="shared" si="77"/>
        <v>0</v>
      </c>
      <c r="AE207" s="233">
        <f t="shared" si="77"/>
        <v>0</v>
      </c>
      <c r="AF207" s="233">
        <f t="shared" si="77"/>
        <v>0</v>
      </c>
      <c r="AG207" s="233">
        <f t="shared" si="77"/>
        <v>0</v>
      </c>
      <c r="AH207" s="233">
        <f t="shared" si="77"/>
        <v>0</v>
      </c>
      <c r="AI207" s="233">
        <f t="shared" si="77"/>
        <v>0</v>
      </c>
      <c r="AJ207" s="233">
        <f t="shared" si="77"/>
        <v>0</v>
      </c>
      <c r="AK207" s="233">
        <f t="shared" si="77"/>
        <v>0</v>
      </c>
      <c r="AL207" s="234">
        <f t="shared" si="77"/>
        <v>0</v>
      </c>
      <c r="AM207" s="347"/>
    </row>
    <row r="208" spans="2:39" hidden="1" outlineLevel="2">
      <c r="B208" s="395"/>
      <c r="C208" s="396"/>
      <c r="D208" s="417" t="s">
        <v>605</v>
      </c>
      <c r="E208" s="418" t="s">
        <v>598</v>
      </c>
      <c r="F208" s="419">
        <f t="shared" ref="F208:AL208" si="78">+IF(F6=0,0,IF(E234&lt;&gt;0,F234/E234-1,0))</f>
        <v>0.18218539251467902</v>
      </c>
      <c r="G208" s="419">
        <f t="shared" si="78"/>
        <v>0.15278610494308342</v>
      </c>
      <c r="H208" s="420">
        <f t="shared" si="78"/>
        <v>-0.11381385258528087</v>
      </c>
      <c r="I208" s="238">
        <f t="shared" si="78"/>
        <v>6.2458282309769686E-2</v>
      </c>
      <c r="J208" s="239">
        <f t="shared" si="78"/>
        <v>-1.1400522278812053E-2</v>
      </c>
      <c r="K208" s="239">
        <f t="shared" si="78"/>
        <v>1.4889128655538597E-2</v>
      </c>
      <c r="L208" s="239">
        <f t="shared" si="78"/>
        <v>1.7077910292214726E-2</v>
      </c>
      <c r="M208" s="239">
        <f t="shared" si="78"/>
        <v>2.4192432828108013E-2</v>
      </c>
      <c r="N208" s="239">
        <f t="shared" si="78"/>
        <v>2.1011867793399697E-2</v>
      </c>
      <c r="O208" s="239">
        <f t="shared" si="78"/>
        <v>2.0500184688828194E-2</v>
      </c>
      <c r="P208" s="239">
        <f t="shared" si="78"/>
        <v>2.097087671923048E-2</v>
      </c>
      <c r="Q208" s="239">
        <f t="shared" si="78"/>
        <v>3.6801527988016947E-2</v>
      </c>
      <c r="R208" s="239">
        <f t="shared" si="78"/>
        <v>3.5901702392150847E-2</v>
      </c>
      <c r="S208" s="239">
        <f t="shared" si="78"/>
        <v>0</v>
      </c>
      <c r="T208" s="239">
        <f t="shared" si="78"/>
        <v>0</v>
      </c>
      <c r="U208" s="239">
        <f t="shared" si="78"/>
        <v>0</v>
      </c>
      <c r="V208" s="239">
        <f t="shared" si="78"/>
        <v>0</v>
      </c>
      <c r="W208" s="239">
        <f t="shared" si="78"/>
        <v>0</v>
      </c>
      <c r="X208" s="239">
        <f t="shared" si="78"/>
        <v>0</v>
      </c>
      <c r="Y208" s="239">
        <f t="shared" si="78"/>
        <v>0</v>
      </c>
      <c r="Z208" s="239">
        <f t="shared" si="78"/>
        <v>0</v>
      </c>
      <c r="AA208" s="239">
        <f t="shared" si="78"/>
        <v>0</v>
      </c>
      <c r="AB208" s="239">
        <f t="shared" si="78"/>
        <v>0</v>
      </c>
      <c r="AC208" s="239">
        <f t="shared" si="78"/>
        <v>0</v>
      </c>
      <c r="AD208" s="239">
        <f t="shared" si="78"/>
        <v>0</v>
      </c>
      <c r="AE208" s="239">
        <f t="shared" si="78"/>
        <v>0</v>
      </c>
      <c r="AF208" s="239">
        <f t="shared" si="78"/>
        <v>0</v>
      </c>
      <c r="AG208" s="239">
        <f t="shared" si="78"/>
        <v>0</v>
      </c>
      <c r="AH208" s="239">
        <f t="shared" si="78"/>
        <v>0</v>
      </c>
      <c r="AI208" s="239">
        <f t="shared" si="78"/>
        <v>0</v>
      </c>
      <c r="AJ208" s="239">
        <f t="shared" si="78"/>
        <v>0</v>
      </c>
      <c r="AK208" s="239">
        <f t="shared" si="78"/>
        <v>0</v>
      </c>
      <c r="AL208" s="240">
        <f t="shared" si="78"/>
        <v>0</v>
      </c>
      <c r="AM208" s="401"/>
    </row>
    <row r="209" spans="2:39" ht="24" hidden="1" outlineLevel="2">
      <c r="B209" s="402"/>
      <c r="C209" s="403"/>
      <c r="D209" s="408" t="s">
        <v>606</v>
      </c>
      <c r="E209" s="409" t="s">
        <v>598</v>
      </c>
      <c r="F209" s="410">
        <f t="shared" ref="F209:AL209" si="79">+IF(F6=0,0,IF(E235&lt;&gt;0,F235/E235-1,0))</f>
        <v>0.12402664047368384</v>
      </c>
      <c r="G209" s="410">
        <f t="shared" si="79"/>
        <v>0.17013112122150065</v>
      </c>
      <c r="H209" s="411">
        <f t="shared" si="79"/>
        <v>-0.11785833327304074</v>
      </c>
      <c r="I209" s="232">
        <f t="shared" si="79"/>
        <v>6.1209734991423792E-2</v>
      </c>
      <c r="J209" s="233">
        <f t="shared" si="79"/>
        <v>1.2663442941560188E-2</v>
      </c>
      <c r="K209" s="233">
        <f t="shared" si="79"/>
        <v>2.5860419049221983E-2</v>
      </c>
      <c r="L209" s="233">
        <f t="shared" si="79"/>
        <v>1.7188610421982498E-2</v>
      </c>
      <c r="M209" s="233">
        <f t="shared" si="79"/>
        <v>2.7243204550867262E-2</v>
      </c>
      <c r="N209" s="233">
        <f t="shared" si="79"/>
        <v>2.1082966526335456E-2</v>
      </c>
      <c r="O209" s="233">
        <f t="shared" si="79"/>
        <v>2.3881995107615239E-2</v>
      </c>
      <c r="P209" s="233">
        <f t="shared" si="79"/>
        <v>2.097087671923048E-2</v>
      </c>
      <c r="Q209" s="233">
        <f t="shared" si="79"/>
        <v>3.6801527988016947E-2</v>
      </c>
      <c r="R209" s="233">
        <f t="shared" si="79"/>
        <v>3.5901702392150847E-2</v>
      </c>
      <c r="S209" s="233">
        <f t="shared" si="79"/>
        <v>0</v>
      </c>
      <c r="T209" s="233">
        <f t="shared" si="79"/>
        <v>0</v>
      </c>
      <c r="U209" s="233">
        <f t="shared" si="79"/>
        <v>0</v>
      </c>
      <c r="V209" s="233">
        <f t="shared" si="79"/>
        <v>0</v>
      </c>
      <c r="W209" s="233">
        <f t="shared" si="79"/>
        <v>0</v>
      </c>
      <c r="X209" s="233">
        <f t="shared" si="79"/>
        <v>0</v>
      </c>
      <c r="Y209" s="233">
        <f t="shared" si="79"/>
        <v>0</v>
      </c>
      <c r="Z209" s="233">
        <f t="shared" si="79"/>
        <v>0</v>
      </c>
      <c r="AA209" s="233">
        <f t="shared" si="79"/>
        <v>0</v>
      </c>
      <c r="AB209" s="233">
        <f t="shared" si="79"/>
        <v>0</v>
      </c>
      <c r="AC209" s="233">
        <f t="shared" si="79"/>
        <v>0</v>
      </c>
      <c r="AD209" s="233">
        <f t="shared" si="79"/>
        <v>0</v>
      </c>
      <c r="AE209" s="233">
        <f t="shared" si="79"/>
        <v>0</v>
      </c>
      <c r="AF209" s="233">
        <f t="shared" si="79"/>
        <v>0</v>
      </c>
      <c r="AG209" s="233">
        <f t="shared" si="79"/>
        <v>0</v>
      </c>
      <c r="AH209" s="233">
        <f t="shared" si="79"/>
        <v>0</v>
      </c>
      <c r="AI209" s="233">
        <f t="shared" si="79"/>
        <v>0</v>
      </c>
      <c r="AJ209" s="233">
        <f t="shared" si="79"/>
        <v>0</v>
      </c>
      <c r="AK209" s="233">
        <f t="shared" si="79"/>
        <v>0</v>
      </c>
      <c r="AL209" s="234">
        <f t="shared" si="79"/>
        <v>0</v>
      </c>
      <c r="AM209" s="347"/>
    </row>
    <row r="210" spans="2:39" ht="15" hidden="1" outlineLevel="2">
      <c r="B210" s="402"/>
      <c r="C210" s="403"/>
      <c r="D210" s="408" t="s">
        <v>607</v>
      </c>
      <c r="E210" s="409" t="s">
        <v>598</v>
      </c>
      <c r="F210" s="410">
        <f t="shared" ref="F210:AL210" si="80">+IF(F6=0,0,IF(E236&lt;&gt;0,F236/E236-1,0))</f>
        <v>0.10624900546009441</v>
      </c>
      <c r="G210" s="410">
        <f t="shared" si="80"/>
        <v>6.2284807070449366E-2</v>
      </c>
      <c r="H210" s="411">
        <f t="shared" si="80"/>
        <v>-4.2975623834843324E-2</v>
      </c>
      <c r="I210" s="232">
        <f t="shared" si="80"/>
        <v>-3.9325146345584594E-3</v>
      </c>
      <c r="J210" s="233">
        <f t="shared" si="80"/>
        <v>2.8747763543453875E-2</v>
      </c>
      <c r="K210" s="233">
        <f t="shared" si="80"/>
        <v>2.0000073683008379E-2</v>
      </c>
      <c r="L210" s="233">
        <f t="shared" si="80"/>
        <v>2.0001034451571531E-2</v>
      </c>
      <c r="M210" s="233">
        <f t="shared" si="80"/>
        <v>-1</v>
      </c>
      <c r="N210" s="233">
        <f t="shared" si="80"/>
        <v>0</v>
      </c>
      <c r="O210" s="233">
        <f t="shared" si="80"/>
        <v>0</v>
      </c>
      <c r="P210" s="233">
        <f t="shared" si="80"/>
        <v>0</v>
      </c>
      <c r="Q210" s="233">
        <f t="shared" si="80"/>
        <v>0</v>
      </c>
      <c r="R210" s="233">
        <f t="shared" si="80"/>
        <v>0</v>
      </c>
      <c r="S210" s="233">
        <f t="shared" si="80"/>
        <v>0</v>
      </c>
      <c r="T210" s="233">
        <f t="shared" si="80"/>
        <v>0</v>
      </c>
      <c r="U210" s="233">
        <f t="shared" si="80"/>
        <v>0</v>
      </c>
      <c r="V210" s="233">
        <f t="shared" si="80"/>
        <v>0</v>
      </c>
      <c r="W210" s="233">
        <f t="shared" si="80"/>
        <v>0</v>
      </c>
      <c r="X210" s="233">
        <f t="shared" si="80"/>
        <v>0</v>
      </c>
      <c r="Y210" s="233">
        <f t="shared" si="80"/>
        <v>0</v>
      </c>
      <c r="Z210" s="233">
        <f t="shared" si="80"/>
        <v>0</v>
      </c>
      <c r="AA210" s="233">
        <f t="shared" si="80"/>
        <v>0</v>
      </c>
      <c r="AB210" s="233">
        <f t="shared" si="80"/>
        <v>0</v>
      </c>
      <c r="AC210" s="233">
        <f t="shared" si="80"/>
        <v>0</v>
      </c>
      <c r="AD210" s="233">
        <f t="shared" si="80"/>
        <v>0</v>
      </c>
      <c r="AE210" s="233">
        <f t="shared" si="80"/>
        <v>0</v>
      </c>
      <c r="AF210" s="233">
        <f t="shared" si="80"/>
        <v>0</v>
      </c>
      <c r="AG210" s="233">
        <f t="shared" si="80"/>
        <v>0</v>
      </c>
      <c r="AH210" s="233">
        <f t="shared" si="80"/>
        <v>0</v>
      </c>
      <c r="AI210" s="233">
        <f t="shared" si="80"/>
        <v>0</v>
      </c>
      <c r="AJ210" s="233">
        <f t="shared" si="80"/>
        <v>0</v>
      </c>
      <c r="AK210" s="233">
        <f t="shared" si="80"/>
        <v>0</v>
      </c>
      <c r="AL210" s="234">
        <f t="shared" si="80"/>
        <v>0</v>
      </c>
      <c r="AM210" s="347"/>
    </row>
    <row r="211" spans="2:39" ht="36" hidden="1" outlineLevel="2">
      <c r="B211" s="402"/>
      <c r="C211" s="403"/>
      <c r="D211" s="412" t="s">
        <v>608</v>
      </c>
      <c r="E211" s="421" t="s">
        <v>598</v>
      </c>
      <c r="F211" s="422">
        <f t="shared" ref="F211:AL211" si="81">+IF(F6=0,0,IF(E237&lt;&gt;0,F237/E237-1,0))</f>
        <v>-0.20262333440815639</v>
      </c>
      <c r="G211" s="422">
        <f t="shared" si="81"/>
        <v>0.31915944005967578</v>
      </c>
      <c r="H211" s="423">
        <f t="shared" si="81"/>
        <v>-0.19027938083695328</v>
      </c>
      <c r="I211" s="241">
        <f t="shared" si="81"/>
        <v>0.15077788279891879</v>
      </c>
      <c r="J211" s="242">
        <f t="shared" si="81"/>
        <v>-5.1432467925694891E-2</v>
      </c>
      <c r="K211" s="242">
        <f t="shared" si="81"/>
        <v>2.6058108918716849E-2</v>
      </c>
      <c r="L211" s="242">
        <f t="shared" si="81"/>
        <v>3.0203192310526372E-2</v>
      </c>
      <c r="M211" s="242">
        <f t="shared" si="81"/>
        <v>1.65181110662403</v>
      </c>
      <c r="N211" s="242">
        <f t="shared" si="81"/>
        <v>2.8634566699907715E-2</v>
      </c>
      <c r="O211" s="242">
        <f t="shared" si="81"/>
        <v>2.7102859804463586E-2</v>
      </c>
      <c r="P211" s="242">
        <f t="shared" si="81"/>
        <v>2.69822071894672E-2</v>
      </c>
      <c r="Q211" s="242">
        <f t="shared" si="81"/>
        <v>3.9412328698653853E-2</v>
      </c>
      <c r="R211" s="242">
        <f t="shared" si="81"/>
        <v>3.6263596113983443E-2</v>
      </c>
      <c r="S211" s="242">
        <f t="shared" si="81"/>
        <v>0</v>
      </c>
      <c r="T211" s="242">
        <f t="shared" si="81"/>
        <v>0</v>
      </c>
      <c r="U211" s="242">
        <f t="shared" si="81"/>
        <v>0</v>
      </c>
      <c r="V211" s="242">
        <f t="shared" si="81"/>
        <v>0</v>
      </c>
      <c r="W211" s="242">
        <f t="shared" si="81"/>
        <v>0</v>
      </c>
      <c r="X211" s="242">
        <f t="shared" si="81"/>
        <v>0</v>
      </c>
      <c r="Y211" s="242">
        <f t="shared" si="81"/>
        <v>0</v>
      </c>
      <c r="Z211" s="242">
        <f t="shared" si="81"/>
        <v>0</v>
      </c>
      <c r="AA211" s="242">
        <f t="shared" si="81"/>
        <v>0</v>
      </c>
      <c r="AB211" s="242">
        <f t="shared" si="81"/>
        <v>0</v>
      </c>
      <c r="AC211" s="242">
        <f t="shared" si="81"/>
        <v>0</v>
      </c>
      <c r="AD211" s="242">
        <f t="shared" si="81"/>
        <v>0</v>
      </c>
      <c r="AE211" s="242">
        <f t="shared" si="81"/>
        <v>0</v>
      </c>
      <c r="AF211" s="242">
        <f t="shared" si="81"/>
        <v>0</v>
      </c>
      <c r="AG211" s="242">
        <f t="shared" si="81"/>
        <v>0</v>
      </c>
      <c r="AH211" s="242">
        <f t="shared" si="81"/>
        <v>0</v>
      </c>
      <c r="AI211" s="242">
        <f t="shared" si="81"/>
        <v>0</v>
      </c>
      <c r="AJ211" s="242">
        <f t="shared" si="81"/>
        <v>0</v>
      </c>
      <c r="AK211" s="242">
        <f t="shared" si="81"/>
        <v>0</v>
      </c>
      <c r="AL211" s="243">
        <f t="shared" si="81"/>
        <v>0</v>
      </c>
      <c r="AM211" s="347"/>
    </row>
    <row r="212" spans="2:39" ht="228" hidden="1" outlineLevel="1">
      <c r="B212" s="402"/>
      <c r="C212" s="403"/>
      <c r="D212" s="377" t="s">
        <v>609</v>
      </c>
      <c r="E212" s="424"/>
      <c r="F212" s="424"/>
      <c r="G212" s="425" t="s">
        <v>610</v>
      </c>
      <c r="H212" s="425" t="s">
        <v>611</v>
      </c>
      <c r="I212" s="426"/>
      <c r="J212" s="426"/>
      <c r="K212" s="426"/>
      <c r="L212" s="426"/>
      <c r="M212" s="426"/>
      <c r="N212" s="426"/>
      <c r="O212" s="426"/>
      <c r="P212" s="426"/>
      <c r="Q212" s="426"/>
      <c r="R212" s="426"/>
      <c r="S212" s="426"/>
      <c r="T212" s="426"/>
      <c r="U212" s="426"/>
      <c r="V212" s="426"/>
      <c r="W212" s="426"/>
      <c r="X212" s="426"/>
      <c r="Y212" s="426"/>
      <c r="Z212" s="426"/>
      <c r="AA212" s="426"/>
      <c r="AB212" s="426"/>
      <c r="AC212" s="426"/>
      <c r="AD212" s="426"/>
      <c r="AE212" s="426"/>
      <c r="AF212" s="426"/>
      <c r="AG212" s="426"/>
      <c r="AH212" s="426"/>
      <c r="AI212" s="426"/>
      <c r="AJ212" s="426"/>
      <c r="AK212" s="426"/>
      <c r="AL212" s="426"/>
      <c r="AM212" s="347"/>
    </row>
    <row r="213" spans="2:39" hidden="1" outlineLevel="2">
      <c r="B213" s="395"/>
      <c r="C213" s="396"/>
      <c r="D213" s="397" t="s">
        <v>203</v>
      </c>
      <c r="E213" s="427" t="s">
        <v>598</v>
      </c>
      <c r="F213" s="428">
        <f t="shared" ref="F213:AL218" si="82">+IF(F$226=0,"",F226-E226)</f>
        <v>1510414.0799999982</v>
      </c>
      <c r="G213" s="428">
        <f t="shared" si="82"/>
        <v>3893878.5199999996</v>
      </c>
      <c r="H213" s="429">
        <f t="shared" si="82"/>
        <v>-3954150.4799999967</v>
      </c>
      <c r="I213" s="430">
        <f t="shared" si="82"/>
        <v>1889958.9099999964</v>
      </c>
      <c r="J213" s="431">
        <f t="shared" si="82"/>
        <v>-1355466.5799999982</v>
      </c>
      <c r="K213" s="431">
        <f t="shared" si="82"/>
        <v>521563</v>
      </c>
      <c r="L213" s="431">
        <f t="shared" si="82"/>
        <v>1214553</v>
      </c>
      <c r="M213" s="431">
        <f t="shared" si="82"/>
        <v>184780</v>
      </c>
      <c r="N213" s="431">
        <f t="shared" si="82"/>
        <v>1085640</v>
      </c>
      <c r="O213" s="431">
        <f t="shared" si="82"/>
        <v>645036</v>
      </c>
      <c r="P213" s="431">
        <f t="shared" si="82"/>
        <v>2412476</v>
      </c>
      <c r="Q213" s="431">
        <f t="shared" si="82"/>
        <v>2611251</v>
      </c>
      <c r="R213" s="431">
        <f t="shared" si="82"/>
        <v>1510840.4200000018</v>
      </c>
      <c r="S213" s="431" t="str">
        <f t="shared" si="82"/>
        <v/>
      </c>
      <c r="T213" s="431" t="str">
        <f t="shared" si="82"/>
        <v/>
      </c>
      <c r="U213" s="431" t="str">
        <f t="shared" si="82"/>
        <v/>
      </c>
      <c r="V213" s="431" t="str">
        <f t="shared" si="82"/>
        <v/>
      </c>
      <c r="W213" s="431" t="str">
        <f t="shared" si="82"/>
        <v/>
      </c>
      <c r="X213" s="431" t="str">
        <f t="shared" si="82"/>
        <v/>
      </c>
      <c r="Y213" s="431" t="str">
        <f t="shared" si="82"/>
        <v/>
      </c>
      <c r="Z213" s="431" t="str">
        <f t="shared" si="82"/>
        <v/>
      </c>
      <c r="AA213" s="431" t="str">
        <f t="shared" si="82"/>
        <v/>
      </c>
      <c r="AB213" s="431" t="str">
        <f t="shared" si="82"/>
        <v/>
      </c>
      <c r="AC213" s="431" t="str">
        <f t="shared" si="82"/>
        <v/>
      </c>
      <c r="AD213" s="431" t="str">
        <f t="shared" si="82"/>
        <v/>
      </c>
      <c r="AE213" s="431" t="str">
        <f t="shared" si="82"/>
        <v/>
      </c>
      <c r="AF213" s="431" t="str">
        <f t="shared" si="82"/>
        <v/>
      </c>
      <c r="AG213" s="431" t="str">
        <f t="shared" si="82"/>
        <v/>
      </c>
      <c r="AH213" s="431" t="str">
        <f t="shared" si="82"/>
        <v/>
      </c>
      <c r="AI213" s="431" t="str">
        <f t="shared" si="82"/>
        <v/>
      </c>
      <c r="AJ213" s="431" t="str">
        <f t="shared" si="82"/>
        <v/>
      </c>
      <c r="AK213" s="431" t="str">
        <f t="shared" si="82"/>
        <v/>
      </c>
      <c r="AL213" s="432" t="str">
        <f t="shared" si="82"/>
        <v/>
      </c>
      <c r="AM213" s="401"/>
    </row>
    <row r="214" spans="2:39" ht="15" hidden="1" outlineLevel="2">
      <c r="B214" s="402"/>
      <c r="C214" s="403"/>
      <c r="D214" s="404" t="s">
        <v>599</v>
      </c>
      <c r="E214" s="433" t="s">
        <v>598</v>
      </c>
      <c r="F214" s="434">
        <f t="shared" si="82"/>
        <v>1292046.6600000001</v>
      </c>
      <c r="G214" s="434">
        <f t="shared" si="82"/>
        <v>4339123.3999999985</v>
      </c>
      <c r="H214" s="435">
        <f t="shared" si="82"/>
        <v>-3544855.5799999945</v>
      </c>
      <c r="I214" s="436">
        <f t="shared" si="82"/>
        <v>2429741.2699999958</v>
      </c>
      <c r="J214" s="437">
        <f t="shared" si="82"/>
        <v>-180483.37999999896</v>
      </c>
      <c r="K214" s="437">
        <f t="shared" si="82"/>
        <v>446143</v>
      </c>
      <c r="L214" s="437">
        <f t="shared" si="82"/>
        <v>786553</v>
      </c>
      <c r="M214" s="437">
        <f t="shared" si="82"/>
        <v>85280</v>
      </c>
      <c r="N214" s="437">
        <f t="shared" si="82"/>
        <v>799340</v>
      </c>
      <c r="O214" s="437">
        <f t="shared" si="82"/>
        <v>908836</v>
      </c>
      <c r="P214" s="437">
        <f t="shared" si="82"/>
        <v>952476</v>
      </c>
      <c r="Q214" s="437">
        <f t="shared" si="82"/>
        <v>961251</v>
      </c>
      <c r="R214" s="437">
        <f t="shared" si="82"/>
        <v>970840.42000000179</v>
      </c>
      <c r="S214" s="437" t="str">
        <f t="shared" si="82"/>
        <v/>
      </c>
      <c r="T214" s="437" t="str">
        <f t="shared" si="82"/>
        <v/>
      </c>
      <c r="U214" s="437" t="str">
        <f t="shared" si="82"/>
        <v/>
      </c>
      <c r="V214" s="437" t="str">
        <f t="shared" si="82"/>
        <v/>
      </c>
      <c r="W214" s="437" t="str">
        <f t="shared" si="82"/>
        <v/>
      </c>
      <c r="X214" s="437" t="str">
        <f t="shared" si="82"/>
        <v/>
      </c>
      <c r="Y214" s="437" t="str">
        <f t="shared" si="82"/>
        <v/>
      </c>
      <c r="Z214" s="437" t="str">
        <f t="shared" si="82"/>
        <v/>
      </c>
      <c r="AA214" s="437" t="str">
        <f t="shared" si="82"/>
        <v/>
      </c>
      <c r="AB214" s="437" t="str">
        <f t="shared" si="82"/>
        <v/>
      </c>
      <c r="AC214" s="437" t="str">
        <f t="shared" si="82"/>
        <v/>
      </c>
      <c r="AD214" s="437" t="str">
        <f t="shared" si="82"/>
        <v/>
      </c>
      <c r="AE214" s="437" t="str">
        <f t="shared" si="82"/>
        <v/>
      </c>
      <c r="AF214" s="437" t="str">
        <f t="shared" si="82"/>
        <v/>
      </c>
      <c r="AG214" s="437" t="str">
        <f t="shared" si="82"/>
        <v/>
      </c>
      <c r="AH214" s="437" t="str">
        <f t="shared" si="82"/>
        <v/>
      </c>
      <c r="AI214" s="437" t="str">
        <f t="shared" si="82"/>
        <v/>
      </c>
      <c r="AJ214" s="437" t="str">
        <f t="shared" si="82"/>
        <v/>
      </c>
      <c r="AK214" s="437" t="str">
        <f t="shared" si="82"/>
        <v/>
      </c>
      <c r="AL214" s="438" t="str">
        <f t="shared" si="82"/>
        <v/>
      </c>
      <c r="AM214" s="347"/>
    </row>
    <row r="215" spans="2:39" ht="15" hidden="1" outlineLevel="2">
      <c r="B215" s="402"/>
      <c r="C215" s="403"/>
      <c r="D215" s="408" t="s">
        <v>600</v>
      </c>
      <c r="E215" s="439" t="s">
        <v>598</v>
      </c>
      <c r="F215" s="440">
        <f t="shared" si="82"/>
        <v>2369435.3100000005</v>
      </c>
      <c r="G215" s="440">
        <f t="shared" si="82"/>
        <v>1480326.2599999979</v>
      </c>
      <c r="H215" s="441">
        <f t="shared" si="82"/>
        <v>-1280882.5299999975</v>
      </c>
      <c r="I215" s="436">
        <f t="shared" si="82"/>
        <v>787251.21999999881</v>
      </c>
      <c r="J215" s="437">
        <f t="shared" si="82"/>
        <v>1015704.620000001</v>
      </c>
      <c r="K215" s="437">
        <f t="shared" si="82"/>
        <v>916442</v>
      </c>
      <c r="L215" s="437">
        <f t="shared" si="82"/>
        <v>784553</v>
      </c>
      <c r="M215" s="437">
        <f t="shared" si="82"/>
        <v>906780</v>
      </c>
      <c r="N215" s="437">
        <f t="shared" si="82"/>
        <v>1060640</v>
      </c>
      <c r="O215" s="437">
        <f t="shared" si="82"/>
        <v>935036</v>
      </c>
      <c r="P215" s="437">
        <f t="shared" si="82"/>
        <v>972476</v>
      </c>
      <c r="Q215" s="437">
        <f t="shared" si="82"/>
        <v>911251</v>
      </c>
      <c r="R215" s="437">
        <f t="shared" si="82"/>
        <v>1010840.4200000018</v>
      </c>
      <c r="S215" s="437" t="str">
        <f t="shared" si="82"/>
        <v/>
      </c>
      <c r="T215" s="437" t="str">
        <f t="shared" si="82"/>
        <v/>
      </c>
      <c r="U215" s="437" t="str">
        <f t="shared" si="82"/>
        <v/>
      </c>
      <c r="V215" s="437" t="str">
        <f t="shared" si="82"/>
        <v/>
      </c>
      <c r="W215" s="437" t="str">
        <f t="shared" si="82"/>
        <v/>
      </c>
      <c r="X215" s="437" t="str">
        <f t="shared" si="82"/>
        <v/>
      </c>
      <c r="Y215" s="437" t="str">
        <f t="shared" si="82"/>
        <v/>
      </c>
      <c r="Z215" s="437" t="str">
        <f t="shared" si="82"/>
        <v/>
      </c>
      <c r="AA215" s="437" t="str">
        <f t="shared" si="82"/>
        <v/>
      </c>
      <c r="AB215" s="437" t="str">
        <f t="shared" si="82"/>
        <v/>
      </c>
      <c r="AC215" s="437" t="str">
        <f t="shared" si="82"/>
        <v/>
      </c>
      <c r="AD215" s="437" t="str">
        <f t="shared" si="82"/>
        <v/>
      </c>
      <c r="AE215" s="437" t="str">
        <f t="shared" si="82"/>
        <v/>
      </c>
      <c r="AF215" s="437" t="str">
        <f t="shared" si="82"/>
        <v/>
      </c>
      <c r="AG215" s="437" t="str">
        <f t="shared" si="82"/>
        <v/>
      </c>
      <c r="AH215" s="437" t="str">
        <f t="shared" si="82"/>
        <v/>
      </c>
      <c r="AI215" s="437" t="str">
        <f t="shared" si="82"/>
        <v/>
      </c>
      <c r="AJ215" s="437" t="str">
        <f t="shared" si="82"/>
        <v/>
      </c>
      <c r="AK215" s="437" t="str">
        <f t="shared" si="82"/>
        <v/>
      </c>
      <c r="AL215" s="438" t="str">
        <f t="shared" si="82"/>
        <v/>
      </c>
      <c r="AM215" s="347"/>
    </row>
    <row r="216" spans="2:39" ht="15" hidden="1" outlineLevel="2">
      <c r="B216" s="402"/>
      <c r="C216" s="403"/>
      <c r="D216" s="408" t="s">
        <v>601</v>
      </c>
      <c r="E216" s="439" t="s">
        <v>598</v>
      </c>
      <c r="F216" s="440">
        <f t="shared" si="82"/>
        <v>-1077388.6500000004</v>
      </c>
      <c r="G216" s="440">
        <f t="shared" si="82"/>
        <v>2858797.14</v>
      </c>
      <c r="H216" s="441">
        <f t="shared" si="82"/>
        <v>-2263973.0499999998</v>
      </c>
      <c r="I216" s="436">
        <f t="shared" si="82"/>
        <v>1642490.0499999998</v>
      </c>
      <c r="J216" s="437">
        <f t="shared" si="82"/>
        <v>-1196188</v>
      </c>
      <c r="K216" s="437">
        <f t="shared" si="82"/>
        <v>-470299</v>
      </c>
      <c r="L216" s="437">
        <f t="shared" si="82"/>
        <v>2000</v>
      </c>
      <c r="M216" s="437">
        <f t="shared" si="82"/>
        <v>-821500</v>
      </c>
      <c r="N216" s="437">
        <f t="shared" si="82"/>
        <v>-261300</v>
      </c>
      <c r="O216" s="437">
        <f t="shared" si="82"/>
        <v>-26200</v>
      </c>
      <c r="P216" s="437">
        <f t="shared" si="82"/>
        <v>-20000</v>
      </c>
      <c r="Q216" s="437">
        <f t="shared" si="82"/>
        <v>50000</v>
      </c>
      <c r="R216" s="437">
        <f t="shared" si="82"/>
        <v>-40000</v>
      </c>
      <c r="S216" s="437" t="str">
        <f t="shared" si="82"/>
        <v/>
      </c>
      <c r="T216" s="437" t="str">
        <f t="shared" si="82"/>
        <v/>
      </c>
      <c r="U216" s="437" t="str">
        <f t="shared" si="82"/>
        <v/>
      </c>
      <c r="V216" s="437" t="str">
        <f t="shared" si="82"/>
        <v/>
      </c>
      <c r="W216" s="437" t="str">
        <f t="shared" si="82"/>
        <v/>
      </c>
      <c r="X216" s="437" t="str">
        <f t="shared" si="82"/>
        <v/>
      </c>
      <c r="Y216" s="437" t="str">
        <f t="shared" si="82"/>
        <v/>
      </c>
      <c r="Z216" s="437" t="str">
        <f t="shared" si="82"/>
        <v/>
      </c>
      <c r="AA216" s="437" t="str">
        <f t="shared" si="82"/>
        <v/>
      </c>
      <c r="AB216" s="437" t="str">
        <f t="shared" si="82"/>
        <v/>
      </c>
      <c r="AC216" s="437" t="str">
        <f t="shared" si="82"/>
        <v/>
      </c>
      <c r="AD216" s="437" t="str">
        <f t="shared" si="82"/>
        <v/>
      </c>
      <c r="AE216" s="437" t="str">
        <f t="shared" si="82"/>
        <v/>
      </c>
      <c r="AF216" s="437" t="str">
        <f t="shared" si="82"/>
        <v/>
      </c>
      <c r="AG216" s="437" t="str">
        <f t="shared" si="82"/>
        <v/>
      </c>
      <c r="AH216" s="437" t="str">
        <f t="shared" si="82"/>
        <v/>
      </c>
      <c r="AI216" s="437" t="str">
        <f t="shared" si="82"/>
        <v/>
      </c>
      <c r="AJ216" s="437" t="str">
        <f t="shared" si="82"/>
        <v/>
      </c>
      <c r="AK216" s="437" t="str">
        <f t="shared" si="82"/>
        <v/>
      </c>
      <c r="AL216" s="438" t="str">
        <f t="shared" si="82"/>
        <v/>
      </c>
      <c r="AM216" s="347"/>
    </row>
    <row r="217" spans="2:39" ht="24" hidden="1" outlineLevel="2">
      <c r="B217" s="402"/>
      <c r="C217" s="403"/>
      <c r="D217" s="408" t="s">
        <v>602</v>
      </c>
      <c r="E217" s="439" t="s">
        <v>598</v>
      </c>
      <c r="F217" s="440">
        <f t="shared" si="82"/>
        <v>295254.65999999957</v>
      </c>
      <c r="G217" s="440">
        <f t="shared" si="82"/>
        <v>1061740.48</v>
      </c>
      <c r="H217" s="441">
        <f t="shared" si="82"/>
        <v>-1346050.9999999998</v>
      </c>
      <c r="I217" s="436">
        <f t="shared" si="82"/>
        <v>216416.99999999977</v>
      </c>
      <c r="J217" s="437">
        <f t="shared" si="82"/>
        <v>-38067</v>
      </c>
      <c r="K217" s="437">
        <f t="shared" si="82"/>
        <v>-20299</v>
      </c>
      <c r="L217" s="437">
        <f t="shared" si="82"/>
        <v>102000</v>
      </c>
      <c r="M217" s="437">
        <f t="shared" si="82"/>
        <v>-171500</v>
      </c>
      <c r="N217" s="437">
        <f t="shared" si="82"/>
        <v>-61300</v>
      </c>
      <c r="O217" s="437">
        <f t="shared" si="82"/>
        <v>-26200</v>
      </c>
      <c r="P217" s="437">
        <f t="shared" si="82"/>
        <v>-20000</v>
      </c>
      <c r="Q217" s="437">
        <f t="shared" si="82"/>
        <v>50000</v>
      </c>
      <c r="R217" s="437">
        <f t="shared" si="82"/>
        <v>-40000</v>
      </c>
      <c r="S217" s="437" t="str">
        <f t="shared" si="82"/>
        <v/>
      </c>
      <c r="T217" s="437" t="str">
        <f t="shared" si="82"/>
        <v/>
      </c>
      <c r="U217" s="437" t="str">
        <f t="shared" si="82"/>
        <v/>
      </c>
      <c r="V217" s="437" t="str">
        <f t="shared" si="82"/>
        <v/>
      </c>
      <c r="W217" s="437" t="str">
        <f t="shared" si="82"/>
        <v/>
      </c>
      <c r="X217" s="437" t="str">
        <f t="shared" si="82"/>
        <v/>
      </c>
      <c r="Y217" s="437" t="str">
        <f t="shared" si="82"/>
        <v/>
      </c>
      <c r="Z217" s="437" t="str">
        <f t="shared" si="82"/>
        <v/>
      </c>
      <c r="AA217" s="437" t="str">
        <f t="shared" si="82"/>
        <v/>
      </c>
      <c r="AB217" s="437" t="str">
        <f t="shared" si="82"/>
        <v/>
      </c>
      <c r="AC217" s="437" t="str">
        <f t="shared" si="82"/>
        <v/>
      </c>
      <c r="AD217" s="437" t="str">
        <f t="shared" si="82"/>
        <v/>
      </c>
      <c r="AE217" s="437" t="str">
        <f t="shared" si="82"/>
        <v/>
      </c>
      <c r="AF217" s="437" t="str">
        <f t="shared" si="82"/>
        <v/>
      </c>
      <c r="AG217" s="437" t="str">
        <f t="shared" si="82"/>
        <v/>
      </c>
      <c r="AH217" s="437" t="str">
        <f t="shared" si="82"/>
        <v/>
      </c>
      <c r="AI217" s="437" t="str">
        <f t="shared" si="82"/>
        <v/>
      </c>
      <c r="AJ217" s="437" t="str">
        <f t="shared" si="82"/>
        <v/>
      </c>
      <c r="AK217" s="437" t="str">
        <f t="shared" si="82"/>
        <v/>
      </c>
      <c r="AL217" s="438" t="str">
        <f t="shared" si="82"/>
        <v/>
      </c>
      <c r="AM217" s="347"/>
    </row>
    <row r="218" spans="2:39" ht="15" hidden="1" outlineLevel="2">
      <c r="B218" s="402"/>
      <c r="C218" s="403"/>
      <c r="D218" s="412" t="s">
        <v>603</v>
      </c>
      <c r="E218" s="442" t="s">
        <v>598</v>
      </c>
      <c r="F218" s="443">
        <f t="shared" si="82"/>
        <v>-1372643.3099999998</v>
      </c>
      <c r="G218" s="443">
        <f t="shared" si="82"/>
        <v>1797056.66</v>
      </c>
      <c r="H218" s="444">
        <f t="shared" si="82"/>
        <v>-917922.05</v>
      </c>
      <c r="I218" s="445">
        <f t="shared" si="82"/>
        <v>1426073.05</v>
      </c>
      <c r="J218" s="446">
        <f t="shared" si="82"/>
        <v>-1158121</v>
      </c>
      <c r="K218" s="446">
        <f t="shared" si="82"/>
        <v>-450000</v>
      </c>
      <c r="L218" s="446">
        <f t="shared" si="82"/>
        <v>-100000</v>
      </c>
      <c r="M218" s="446">
        <f t="shared" si="82"/>
        <v>-650000</v>
      </c>
      <c r="N218" s="446">
        <f t="shared" si="82"/>
        <v>-200000</v>
      </c>
      <c r="O218" s="446">
        <f t="shared" si="82"/>
        <v>0</v>
      </c>
      <c r="P218" s="446">
        <f t="shared" si="82"/>
        <v>0</v>
      </c>
      <c r="Q218" s="446">
        <f t="shared" si="82"/>
        <v>0</v>
      </c>
      <c r="R218" s="446">
        <f t="shared" si="82"/>
        <v>0</v>
      </c>
      <c r="S218" s="446" t="str">
        <f t="shared" si="82"/>
        <v/>
      </c>
      <c r="T218" s="446" t="str">
        <f t="shared" si="82"/>
        <v/>
      </c>
      <c r="U218" s="446" t="str">
        <f t="shared" si="82"/>
        <v/>
      </c>
      <c r="V218" s="446" t="str">
        <f t="shared" si="82"/>
        <v/>
      </c>
      <c r="W218" s="446" t="str">
        <f t="shared" si="82"/>
        <v/>
      </c>
      <c r="X218" s="446" t="str">
        <f t="shared" si="82"/>
        <v/>
      </c>
      <c r="Y218" s="446" t="str">
        <f t="shared" si="82"/>
        <v/>
      </c>
      <c r="Z218" s="446" t="str">
        <f t="shared" si="82"/>
        <v/>
      </c>
      <c r="AA218" s="446" t="str">
        <f t="shared" si="82"/>
        <v/>
      </c>
      <c r="AB218" s="446" t="str">
        <f t="shared" si="82"/>
        <v/>
      </c>
      <c r="AC218" s="446" t="str">
        <f t="shared" si="82"/>
        <v/>
      </c>
      <c r="AD218" s="446" t="str">
        <f t="shared" si="82"/>
        <v/>
      </c>
      <c r="AE218" s="446" t="str">
        <f t="shared" si="82"/>
        <v/>
      </c>
      <c r="AF218" s="446" t="str">
        <f t="shared" si="82"/>
        <v/>
      </c>
      <c r="AG218" s="446" t="str">
        <f t="shared" si="82"/>
        <v/>
      </c>
      <c r="AH218" s="446" t="str">
        <f t="shared" si="82"/>
        <v/>
      </c>
      <c r="AI218" s="446" t="str">
        <f t="shared" si="82"/>
        <v/>
      </c>
      <c r="AJ218" s="446" t="str">
        <f t="shared" si="82"/>
        <v/>
      </c>
      <c r="AK218" s="446" t="str">
        <f t="shared" si="82"/>
        <v/>
      </c>
      <c r="AL218" s="447" t="str">
        <f t="shared" si="82"/>
        <v/>
      </c>
      <c r="AM218" s="347"/>
    </row>
    <row r="219" spans="2:39" hidden="1" outlineLevel="2">
      <c r="B219" s="395"/>
      <c r="C219" s="396"/>
      <c r="D219" s="397" t="s">
        <v>228</v>
      </c>
      <c r="E219" s="427" t="s">
        <v>598</v>
      </c>
      <c r="F219" s="428">
        <f t="shared" ref="F219:AL224" si="83">+IF(F$232=0,"",F232-E232)</f>
        <v>5671321.4299999997</v>
      </c>
      <c r="G219" s="428">
        <f t="shared" si="83"/>
        <v>-748643.33000000194</v>
      </c>
      <c r="H219" s="429">
        <f t="shared" si="83"/>
        <v>-3901524.4299999997</v>
      </c>
      <c r="I219" s="430">
        <f t="shared" si="83"/>
        <v>386472.8599999994</v>
      </c>
      <c r="J219" s="431">
        <f t="shared" si="83"/>
        <v>-1444355.5799999982</v>
      </c>
      <c r="K219" s="431">
        <f t="shared" si="83"/>
        <v>521563</v>
      </c>
      <c r="L219" s="431">
        <f t="shared" si="83"/>
        <v>1214553</v>
      </c>
      <c r="M219" s="431">
        <f t="shared" si="83"/>
        <v>184780</v>
      </c>
      <c r="N219" s="431">
        <f t="shared" si="83"/>
        <v>1085640</v>
      </c>
      <c r="O219" s="431">
        <f t="shared" si="83"/>
        <v>685036</v>
      </c>
      <c r="P219" s="431">
        <f t="shared" si="83"/>
        <v>3315870</v>
      </c>
      <c r="Q219" s="431">
        <f t="shared" si="83"/>
        <v>3262415</v>
      </c>
      <c r="R219" s="431">
        <f t="shared" si="83"/>
        <v>1510759</v>
      </c>
      <c r="S219" s="431" t="str">
        <f t="shared" si="83"/>
        <v/>
      </c>
      <c r="T219" s="431" t="str">
        <f t="shared" si="83"/>
        <v/>
      </c>
      <c r="U219" s="431" t="str">
        <f t="shared" si="83"/>
        <v/>
      </c>
      <c r="V219" s="431" t="str">
        <f t="shared" si="83"/>
        <v/>
      </c>
      <c r="W219" s="431" t="str">
        <f t="shared" si="83"/>
        <v/>
      </c>
      <c r="X219" s="431" t="str">
        <f t="shared" si="83"/>
        <v/>
      </c>
      <c r="Y219" s="431" t="str">
        <f t="shared" si="83"/>
        <v/>
      </c>
      <c r="Z219" s="431" t="str">
        <f t="shared" si="83"/>
        <v/>
      </c>
      <c r="AA219" s="431" t="str">
        <f t="shared" si="83"/>
        <v/>
      </c>
      <c r="AB219" s="431" t="str">
        <f t="shared" si="83"/>
        <v/>
      </c>
      <c r="AC219" s="431" t="str">
        <f t="shared" si="83"/>
        <v/>
      </c>
      <c r="AD219" s="431" t="str">
        <f t="shared" si="83"/>
        <v/>
      </c>
      <c r="AE219" s="431" t="str">
        <f t="shared" si="83"/>
        <v/>
      </c>
      <c r="AF219" s="431" t="str">
        <f t="shared" si="83"/>
        <v/>
      </c>
      <c r="AG219" s="431" t="str">
        <f t="shared" si="83"/>
        <v/>
      </c>
      <c r="AH219" s="431" t="str">
        <f t="shared" si="83"/>
        <v/>
      </c>
      <c r="AI219" s="431" t="str">
        <f t="shared" si="83"/>
        <v/>
      </c>
      <c r="AJ219" s="431" t="str">
        <f t="shared" si="83"/>
        <v/>
      </c>
      <c r="AK219" s="431" t="str">
        <f t="shared" si="83"/>
        <v/>
      </c>
      <c r="AL219" s="432" t="str">
        <f t="shared" si="83"/>
        <v/>
      </c>
      <c r="AM219" s="401"/>
    </row>
    <row r="220" spans="2:39" ht="24" hidden="1" outlineLevel="2">
      <c r="B220" s="402"/>
      <c r="C220" s="403"/>
      <c r="D220" s="416" t="s">
        <v>604</v>
      </c>
      <c r="E220" s="439" t="s">
        <v>598</v>
      </c>
      <c r="F220" s="440">
        <f t="shared" si="83"/>
        <v>-1995011.6999999993</v>
      </c>
      <c r="G220" s="440">
        <f t="shared" si="83"/>
        <v>4604266.3999999985</v>
      </c>
      <c r="H220" s="441">
        <f t="shared" si="83"/>
        <v>-3595110.4300000034</v>
      </c>
      <c r="I220" s="436">
        <f t="shared" si="83"/>
        <v>482665.67000000179</v>
      </c>
      <c r="J220" s="437">
        <f t="shared" si="83"/>
        <v>79249.010000001639</v>
      </c>
      <c r="K220" s="437">
        <f t="shared" si="83"/>
        <v>471345</v>
      </c>
      <c r="L220" s="437">
        <f t="shared" si="83"/>
        <v>641983</v>
      </c>
      <c r="M220" s="437">
        <f t="shared" si="83"/>
        <v>-590220</v>
      </c>
      <c r="N220" s="437">
        <f t="shared" si="83"/>
        <v>523840</v>
      </c>
      <c r="O220" s="437">
        <f t="shared" si="83"/>
        <v>781836</v>
      </c>
      <c r="P220" s="437">
        <f t="shared" si="83"/>
        <v>691870</v>
      </c>
      <c r="Q220" s="437">
        <f t="shared" si="83"/>
        <v>-63585</v>
      </c>
      <c r="R220" s="437">
        <f t="shared" si="83"/>
        <v>860759</v>
      </c>
      <c r="S220" s="437" t="str">
        <f t="shared" si="83"/>
        <v/>
      </c>
      <c r="T220" s="437" t="str">
        <f t="shared" si="83"/>
        <v/>
      </c>
      <c r="U220" s="437" t="str">
        <f t="shared" si="83"/>
        <v/>
      </c>
      <c r="V220" s="437" t="str">
        <f t="shared" si="83"/>
        <v/>
      </c>
      <c r="W220" s="437" t="str">
        <f t="shared" si="83"/>
        <v/>
      </c>
      <c r="X220" s="437" t="str">
        <f t="shared" si="83"/>
        <v/>
      </c>
      <c r="Y220" s="437" t="str">
        <f t="shared" si="83"/>
        <v/>
      </c>
      <c r="Z220" s="437" t="str">
        <f t="shared" si="83"/>
        <v/>
      </c>
      <c r="AA220" s="437" t="str">
        <f t="shared" si="83"/>
        <v/>
      </c>
      <c r="AB220" s="437" t="str">
        <f t="shared" si="83"/>
        <v/>
      </c>
      <c r="AC220" s="437" t="str">
        <f t="shared" si="83"/>
        <v/>
      </c>
      <c r="AD220" s="437" t="str">
        <f t="shared" si="83"/>
        <v/>
      </c>
      <c r="AE220" s="437" t="str">
        <f t="shared" si="83"/>
        <v/>
      </c>
      <c r="AF220" s="437" t="str">
        <f t="shared" si="83"/>
        <v/>
      </c>
      <c r="AG220" s="437" t="str">
        <f t="shared" si="83"/>
        <v/>
      </c>
      <c r="AH220" s="437" t="str">
        <f t="shared" si="83"/>
        <v/>
      </c>
      <c r="AI220" s="437" t="str">
        <f t="shared" si="83"/>
        <v/>
      </c>
      <c r="AJ220" s="437" t="str">
        <f t="shared" si="83"/>
        <v/>
      </c>
      <c r="AK220" s="437" t="str">
        <f t="shared" si="83"/>
        <v/>
      </c>
      <c r="AL220" s="438" t="str">
        <f t="shared" si="83"/>
        <v/>
      </c>
      <c r="AM220" s="347"/>
    </row>
    <row r="221" spans="2:39" hidden="1" outlineLevel="2">
      <c r="B221" s="395"/>
      <c r="C221" s="396"/>
      <c r="D221" s="417" t="s">
        <v>605</v>
      </c>
      <c r="E221" s="448" t="s">
        <v>598</v>
      </c>
      <c r="F221" s="449">
        <f t="shared" si="83"/>
        <v>2417067.25</v>
      </c>
      <c r="G221" s="449">
        <f t="shared" si="83"/>
        <v>2396318.9899999984</v>
      </c>
      <c r="H221" s="450">
        <f t="shared" si="83"/>
        <v>-2057806.9399999976</v>
      </c>
      <c r="I221" s="451">
        <f t="shared" si="83"/>
        <v>1000747.4600000009</v>
      </c>
      <c r="J221" s="452">
        <f t="shared" si="83"/>
        <v>-194075.67000000179</v>
      </c>
      <c r="K221" s="452">
        <f t="shared" si="83"/>
        <v>250574</v>
      </c>
      <c r="L221" s="452">
        <f t="shared" si="83"/>
        <v>291689</v>
      </c>
      <c r="M221" s="452">
        <f t="shared" si="83"/>
        <v>420261</v>
      </c>
      <c r="N221" s="452">
        <f t="shared" si="83"/>
        <v>373840</v>
      </c>
      <c r="O221" s="452">
        <f t="shared" si="83"/>
        <v>372400</v>
      </c>
      <c r="P221" s="452">
        <f t="shared" si="83"/>
        <v>388760</v>
      </c>
      <c r="Q221" s="452">
        <f t="shared" si="83"/>
        <v>696537</v>
      </c>
      <c r="R221" s="452">
        <f t="shared" si="83"/>
        <v>704513</v>
      </c>
      <c r="S221" s="452" t="str">
        <f t="shared" si="83"/>
        <v/>
      </c>
      <c r="T221" s="452" t="str">
        <f t="shared" si="83"/>
        <v/>
      </c>
      <c r="U221" s="452" t="str">
        <f t="shared" si="83"/>
        <v/>
      </c>
      <c r="V221" s="452" t="str">
        <f t="shared" si="83"/>
        <v/>
      </c>
      <c r="W221" s="452" t="str">
        <f t="shared" si="83"/>
        <v/>
      </c>
      <c r="X221" s="452" t="str">
        <f t="shared" si="83"/>
        <v/>
      </c>
      <c r="Y221" s="452" t="str">
        <f t="shared" si="83"/>
        <v/>
      </c>
      <c r="Z221" s="452" t="str">
        <f t="shared" si="83"/>
        <v/>
      </c>
      <c r="AA221" s="452" t="str">
        <f t="shared" si="83"/>
        <v/>
      </c>
      <c r="AB221" s="452" t="str">
        <f t="shared" si="83"/>
        <v/>
      </c>
      <c r="AC221" s="452" t="str">
        <f t="shared" si="83"/>
        <v/>
      </c>
      <c r="AD221" s="452" t="str">
        <f t="shared" si="83"/>
        <v/>
      </c>
      <c r="AE221" s="452" t="str">
        <f t="shared" si="83"/>
        <v/>
      </c>
      <c r="AF221" s="452" t="str">
        <f t="shared" si="83"/>
        <v/>
      </c>
      <c r="AG221" s="452" t="str">
        <f t="shared" si="83"/>
        <v/>
      </c>
      <c r="AH221" s="452" t="str">
        <f t="shared" si="83"/>
        <v/>
      </c>
      <c r="AI221" s="452" t="str">
        <f t="shared" si="83"/>
        <v/>
      </c>
      <c r="AJ221" s="452" t="str">
        <f t="shared" si="83"/>
        <v/>
      </c>
      <c r="AK221" s="452" t="str">
        <f t="shared" si="83"/>
        <v/>
      </c>
      <c r="AL221" s="453" t="str">
        <f t="shared" si="83"/>
        <v/>
      </c>
      <c r="AM221" s="401"/>
    </row>
    <row r="222" spans="2:39" ht="24" hidden="1" outlineLevel="2">
      <c r="B222" s="402"/>
      <c r="C222" s="403"/>
      <c r="D222" s="408" t="s">
        <v>606</v>
      </c>
      <c r="E222" s="439" t="s">
        <v>598</v>
      </c>
      <c r="F222" s="440">
        <f t="shared" si="83"/>
        <v>1645470.7300000004</v>
      </c>
      <c r="G222" s="440">
        <f t="shared" si="83"/>
        <v>2537088.1099999994</v>
      </c>
      <c r="H222" s="441">
        <f t="shared" si="83"/>
        <v>-2056584.75</v>
      </c>
      <c r="I222" s="436">
        <f t="shared" si="83"/>
        <v>942204.45000000112</v>
      </c>
      <c r="J222" s="437">
        <f t="shared" si="83"/>
        <v>206860.54999999888</v>
      </c>
      <c r="K222" s="437">
        <f t="shared" si="83"/>
        <v>427786</v>
      </c>
      <c r="L222" s="437">
        <f t="shared" si="83"/>
        <v>291689</v>
      </c>
      <c r="M222" s="437">
        <f t="shared" si="83"/>
        <v>470261</v>
      </c>
      <c r="N222" s="437">
        <f t="shared" si="83"/>
        <v>373840</v>
      </c>
      <c r="O222" s="437">
        <f t="shared" si="83"/>
        <v>432400</v>
      </c>
      <c r="P222" s="437">
        <f t="shared" si="83"/>
        <v>388760</v>
      </c>
      <c r="Q222" s="437">
        <f t="shared" si="83"/>
        <v>696537</v>
      </c>
      <c r="R222" s="437">
        <f t="shared" si="83"/>
        <v>704513</v>
      </c>
      <c r="S222" s="437" t="str">
        <f t="shared" si="83"/>
        <v/>
      </c>
      <c r="T222" s="437" t="str">
        <f t="shared" si="83"/>
        <v/>
      </c>
      <c r="U222" s="437" t="str">
        <f t="shared" si="83"/>
        <v/>
      </c>
      <c r="V222" s="437" t="str">
        <f t="shared" si="83"/>
        <v/>
      </c>
      <c r="W222" s="437" t="str">
        <f t="shared" si="83"/>
        <v/>
      </c>
      <c r="X222" s="437" t="str">
        <f t="shared" si="83"/>
        <v/>
      </c>
      <c r="Y222" s="437" t="str">
        <f t="shared" si="83"/>
        <v/>
      </c>
      <c r="Z222" s="437" t="str">
        <f t="shared" si="83"/>
        <v/>
      </c>
      <c r="AA222" s="437" t="str">
        <f t="shared" si="83"/>
        <v/>
      </c>
      <c r="AB222" s="437" t="str">
        <f t="shared" si="83"/>
        <v/>
      </c>
      <c r="AC222" s="437" t="str">
        <f t="shared" si="83"/>
        <v/>
      </c>
      <c r="AD222" s="437" t="str">
        <f t="shared" si="83"/>
        <v/>
      </c>
      <c r="AE222" s="437" t="str">
        <f t="shared" si="83"/>
        <v/>
      </c>
      <c r="AF222" s="437" t="str">
        <f t="shared" si="83"/>
        <v/>
      </c>
      <c r="AG222" s="437" t="str">
        <f t="shared" si="83"/>
        <v/>
      </c>
      <c r="AH222" s="437" t="str">
        <f t="shared" si="83"/>
        <v/>
      </c>
      <c r="AI222" s="437" t="str">
        <f t="shared" si="83"/>
        <v/>
      </c>
      <c r="AJ222" s="437" t="str">
        <f t="shared" si="83"/>
        <v/>
      </c>
      <c r="AK222" s="437" t="str">
        <f t="shared" si="83"/>
        <v/>
      </c>
      <c r="AL222" s="438" t="str">
        <f t="shared" si="83"/>
        <v/>
      </c>
      <c r="AM222" s="347"/>
    </row>
    <row r="223" spans="2:39" ht="15" hidden="1" outlineLevel="2">
      <c r="B223" s="402"/>
      <c r="C223" s="403"/>
      <c r="D223" s="408" t="s">
        <v>607</v>
      </c>
      <c r="E223" s="439" t="s">
        <v>598</v>
      </c>
      <c r="F223" s="440">
        <f t="shared" si="83"/>
        <v>625623.41999999993</v>
      </c>
      <c r="G223" s="440">
        <f t="shared" si="83"/>
        <v>405716.94000000041</v>
      </c>
      <c r="H223" s="441">
        <f t="shared" si="83"/>
        <v>-297374.81000000052</v>
      </c>
      <c r="I223" s="436">
        <f t="shared" si="83"/>
        <v>-26042.05999999959</v>
      </c>
      <c r="J223" s="437">
        <f t="shared" si="83"/>
        <v>189625.96999999974</v>
      </c>
      <c r="K223" s="437">
        <f t="shared" si="83"/>
        <v>135717</v>
      </c>
      <c r="L223" s="437">
        <f t="shared" si="83"/>
        <v>138438</v>
      </c>
      <c r="M223" s="437">
        <f t="shared" si="83"/>
        <v>-7059980</v>
      </c>
      <c r="N223" s="437">
        <f t="shared" si="83"/>
        <v>0</v>
      </c>
      <c r="O223" s="437">
        <f t="shared" si="83"/>
        <v>0</v>
      </c>
      <c r="P223" s="437">
        <f t="shared" si="83"/>
        <v>0</v>
      </c>
      <c r="Q223" s="437">
        <f t="shared" si="83"/>
        <v>0</v>
      </c>
      <c r="R223" s="437">
        <f t="shared" si="83"/>
        <v>0</v>
      </c>
      <c r="S223" s="437" t="str">
        <f t="shared" si="83"/>
        <v/>
      </c>
      <c r="T223" s="437" t="str">
        <f t="shared" si="83"/>
        <v/>
      </c>
      <c r="U223" s="437" t="str">
        <f t="shared" si="83"/>
        <v/>
      </c>
      <c r="V223" s="437" t="str">
        <f t="shared" si="83"/>
        <v/>
      </c>
      <c r="W223" s="437" t="str">
        <f t="shared" si="83"/>
        <v/>
      </c>
      <c r="X223" s="437" t="str">
        <f t="shared" si="83"/>
        <v/>
      </c>
      <c r="Y223" s="437" t="str">
        <f t="shared" si="83"/>
        <v/>
      </c>
      <c r="Z223" s="437" t="str">
        <f t="shared" si="83"/>
        <v/>
      </c>
      <c r="AA223" s="437" t="str">
        <f t="shared" si="83"/>
        <v/>
      </c>
      <c r="AB223" s="437" t="str">
        <f t="shared" si="83"/>
        <v/>
      </c>
      <c r="AC223" s="437" t="str">
        <f t="shared" si="83"/>
        <v/>
      </c>
      <c r="AD223" s="437" t="str">
        <f t="shared" si="83"/>
        <v/>
      </c>
      <c r="AE223" s="437" t="str">
        <f t="shared" si="83"/>
        <v/>
      </c>
      <c r="AF223" s="437" t="str">
        <f t="shared" si="83"/>
        <v/>
      </c>
      <c r="AG223" s="437" t="str">
        <f t="shared" si="83"/>
        <v/>
      </c>
      <c r="AH223" s="437" t="str">
        <f t="shared" si="83"/>
        <v/>
      </c>
      <c r="AI223" s="437" t="str">
        <f t="shared" si="83"/>
        <v/>
      </c>
      <c r="AJ223" s="437" t="str">
        <f t="shared" si="83"/>
        <v/>
      </c>
      <c r="AK223" s="437" t="str">
        <f t="shared" si="83"/>
        <v/>
      </c>
      <c r="AL223" s="438" t="str">
        <f t="shared" si="83"/>
        <v/>
      </c>
      <c r="AM223" s="347"/>
    </row>
    <row r="224" spans="2:39" ht="36" hidden="1" outlineLevel="2">
      <c r="B224" s="402"/>
      <c r="C224" s="403"/>
      <c r="D224" s="412" t="s">
        <v>608</v>
      </c>
      <c r="E224" s="442" t="s">
        <v>598</v>
      </c>
      <c r="F224" s="443">
        <f t="shared" si="83"/>
        <v>-1351918.0899999999</v>
      </c>
      <c r="G224" s="443">
        <f t="shared" si="83"/>
        <v>1697978.3099999977</v>
      </c>
      <c r="H224" s="444">
        <f t="shared" si="83"/>
        <v>-1335406.429999996</v>
      </c>
      <c r="I224" s="445">
        <f t="shared" si="83"/>
        <v>856829.81999999844</v>
      </c>
      <c r="J224" s="446">
        <f t="shared" si="83"/>
        <v>-336345.6400000006</v>
      </c>
      <c r="K224" s="446">
        <f t="shared" si="83"/>
        <v>161644</v>
      </c>
      <c r="L224" s="446">
        <f t="shared" si="83"/>
        <v>192239</v>
      </c>
      <c r="M224" s="446">
        <f t="shared" si="83"/>
        <v>10831084</v>
      </c>
      <c r="N224" s="446">
        <f t="shared" si="83"/>
        <v>497903</v>
      </c>
      <c r="O224" s="446">
        <f t="shared" si="83"/>
        <v>484764</v>
      </c>
      <c r="P224" s="446">
        <f t="shared" si="83"/>
        <v>495686</v>
      </c>
      <c r="Q224" s="446">
        <f t="shared" si="83"/>
        <v>743574</v>
      </c>
      <c r="R224" s="446">
        <f t="shared" si="83"/>
        <v>711133</v>
      </c>
      <c r="S224" s="446" t="str">
        <f t="shared" si="83"/>
        <v/>
      </c>
      <c r="T224" s="446" t="str">
        <f t="shared" si="83"/>
        <v/>
      </c>
      <c r="U224" s="446" t="str">
        <f t="shared" si="83"/>
        <v/>
      </c>
      <c r="V224" s="446" t="str">
        <f t="shared" si="83"/>
        <v/>
      </c>
      <c r="W224" s="446" t="str">
        <f t="shared" si="83"/>
        <v/>
      </c>
      <c r="X224" s="446" t="str">
        <f t="shared" si="83"/>
        <v/>
      </c>
      <c r="Y224" s="446" t="str">
        <f t="shared" si="83"/>
        <v/>
      </c>
      <c r="Z224" s="446" t="str">
        <f t="shared" si="83"/>
        <v/>
      </c>
      <c r="AA224" s="446" t="str">
        <f t="shared" si="83"/>
        <v/>
      </c>
      <c r="AB224" s="446" t="str">
        <f t="shared" si="83"/>
        <v/>
      </c>
      <c r="AC224" s="446" t="str">
        <f t="shared" si="83"/>
        <v/>
      </c>
      <c r="AD224" s="446" t="str">
        <f t="shared" si="83"/>
        <v/>
      </c>
      <c r="AE224" s="446" t="str">
        <f t="shared" si="83"/>
        <v/>
      </c>
      <c r="AF224" s="446" t="str">
        <f t="shared" si="83"/>
        <v/>
      </c>
      <c r="AG224" s="446" t="str">
        <f t="shared" si="83"/>
        <v/>
      </c>
      <c r="AH224" s="446" t="str">
        <f t="shared" si="83"/>
        <v/>
      </c>
      <c r="AI224" s="446" t="str">
        <f t="shared" si="83"/>
        <v/>
      </c>
      <c r="AJ224" s="446" t="str">
        <f t="shared" si="83"/>
        <v/>
      </c>
      <c r="AK224" s="446" t="str">
        <f t="shared" si="83"/>
        <v/>
      </c>
      <c r="AL224" s="447" t="str">
        <f t="shared" si="83"/>
        <v/>
      </c>
      <c r="AM224" s="347"/>
    </row>
    <row r="225" spans="2:39" ht="15" hidden="1" outlineLevel="1">
      <c r="B225" s="402"/>
      <c r="C225" s="403"/>
      <c r="D225" s="377" t="s">
        <v>612</v>
      </c>
      <c r="E225" s="424"/>
      <c r="F225" s="424"/>
      <c r="G225" s="424"/>
      <c r="H225" s="424"/>
      <c r="I225" s="426"/>
      <c r="J225" s="426"/>
      <c r="K225" s="426"/>
      <c r="L225" s="426"/>
      <c r="M225" s="426"/>
      <c r="N225" s="426"/>
      <c r="O225" s="426"/>
      <c r="P225" s="426"/>
      <c r="Q225" s="426"/>
      <c r="R225" s="426"/>
      <c r="S225" s="426"/>
      <c r="T225" s="426"/>
      <c r="U225" s="426"/>
      <c r="V225" s="426"/>
      <c r="W225" s="426"/>
      <c r="X225" s="426"/>
      <c r="Y225" s="426"/>
      <c r="Z225" s="426"/>
      <c r="AA225" s="426"/>
      <c r="AB225" s="426"/>
      <c r="AC225" s="426"/>
      <c r="AD225" s="426"/>
      <c r="AE225" s="426"/>
      <c r="AF225" s="426"/>
      <c r="AG225" s="426"/>
      <c r="AH225" s="426"/>
      <c r="AI225" s="426"/>
      <c r="AJ225" s="426"/>
      <c r="AK225" s="426"/>
      <c r="AL225" s="426"/>
      <c r="AM225" s="347"/>
    </row>
    <row r="226" spans="2:39" hidden="1" outlineLevel="2">
      <c r="B226" s="395"/>
      <c r="C226" s="396"/>
      <c r="D226" s="397" t="s">
        <v>203</v>
      </c>
      <c r="E226" s="454">
        <f t="shared" ref="E226:AL226" si="84">+E6</f>
        <v>18734729.550000001</v>
      </c>
      <c r="F226" s="455">
        <f t="shared" si="84"/>
        <v>20245143.629999999</v>
      </c>
      <c r="G226" s="455">
        <f t="shared" si="84"/>
        <v>24139022.149999999</v>
      </c>
      <c r="H226" s="456">
        <f t="shared" si="84"/>
        <v>20184871.670000002</v>
      </c>
      <c r="I226" s="430">
        <f t="shared" si="84"/>
        <v>22074830.579999998</v>
      </c>
      <c r="J226" s="431">
        <f t="shared" si="84"/>
        <v>20719364</v>
      </c>
      <c r="K226" s="431">
        <f t="shared" si="84"/>
        <v>21240927</v>
      </c>
      <c r="L226" s="431">
        <f t="shared" si="84"/>
        <v>22455480</v>
      </c>
      <c r="M226" s="431">
        <f t="shared" si="84"/>
        <v>22640260</v>
      </c>
      <c r="N226" s="431">
        <f t="shared" si="84"/>
        <v>23725900</v>
      </c>
      <c r="O226" s="431">
        <f t="shared" si="84"/>
        <v>24370936</v>
      </c>
      <c r="P226" s="431">
        <f t="shared" si="84"/>
        <v>26783412</v>
      </c>
      <c r="Q226" s="431">
        <f t="shared" si="84"/>
        <v>29394663</v>
      </c>
      <c r="R226" s="431">
        <f t="shared" si="84"/>
        <v>30905503.420000002</v>
      </c>
      <c r="S226" s="431">
        <f t="shared" si="84"/>
        <v>0</v>
      </c>
      <c r="T226" s="431">
        <f t="shared" si="84"/>
        <v>0</v>
      </c>
      <c r="U226" s="431">
        <f t="shared" si="84"/>
        <v>0</v>
      </c>
      <c r="V226" s="431">
        <f t="shared" si="84"/>
        <v>0</v>
      </c>
      <c r="W226" s="431">
        <f t="shared" si="84"/>
        <v>0</v>
      </c>
      <c r="X226" s="431">
        <f t="shared" si="84"/>
        <v>0</v>
      </c>
      <c r="Y226" s="431">
        <f t="shared" si="84"/>
        <v>0</v>
      </c>
      <c r="Z226" s="431">
        <f t="shared" si="84"/>
        <v>0</v>
      </c>
      <c r="AA226" s="431">
        <f t="shared" si="84"/>
        <v>0</v>
      </c>
      <c r="AB226" s="431">
        <f t="shared" si="84"/>
        <v>0</v>
      </c>
      <c r="AC226" s="431">
        <f t="shared" si="84"/>
        <v>0</v>
      </c>
      <c r="AD226" s="431">
        <f t="shared" si="84"/>
        <v>0</v>
      </c>
      <c r="AE226" s="431">
        <f t="shared" si="84"/>
        <v>0</v>
      </c>
      <c r="AF226" s="431">
        <f t="shared" si="84"/>
        <v>0</v>
      </c>
      <c r="AG226" s="431">
        <f t="shared" si="84"/>
        <v>0</v>
      </c>
      <c r="AH226" s="431">
        <f t="shared" si="84"/>
        <v>0</v>
      </c>
      <c r="AI226" s="431">
        <f t="shared" si="84"/>
        <v>0</v>
      </c>
      <c r="AJ226" s="431">
        <f t="shared" si="84"/>
        <v>0</v>
      </c>
      <c r="AK226" s="431">
        <f t="shared" si="84"/>
        <v>0</v>
      </c>
      <c r="AL226" s="432">
        <f t="shared" si="84"/>
        <v>0</v>
      </c>
      <c r="AM226" s="401"/>
    </row>
    <row r="227" spans="2:39" ht="15" hidden="1" outlineLevel="2">
      <c r="B227" s="402"/>
      <c r="C227" s="403"/>
      <c r="D227" s="404" t="s">
        <v>599</v>
      </c>
      <c r="E227" s="457">
        <f t="shared" ref="E227:AL227" si="85">+(E6-E71-E74)</f>
        <v>16089211.629999999</v>
      </c>
      <c r="F227" s="458">
        <f t="shared" si="85"/>
        <v>17381258.289999999</v>
      </c>
      <c r="G227" s="458">
        <f t="shared" si="85"/>
        <v>21720381.689999998</v>
      </c>
      <c r="H227" s="459">
        <f t="shared" si="85"/>
        <v>18175526.110000003</v>
      </c>
      <c r="I227" s="436">
        <f t="shared" si="85"/>
        <v>20605267.379999999</v>
      </c>
      <c r="J227" s="437">
        <f t="shared" si="85"/>
        <v>20424784</v>
      </c>
      <c r="K227" s="437">
        <f t="shared" si="85"/>
        <v>20870927</v>
      </c>
      <c r="L227" s="437">
        <f t="shared" si="85"/>
        <v>21657480</v>
      </c>
      <c r="M227" s="437">
        <f t="shared" si="85"/>
        <v>21742760</v>
      </c>
      <c r="N227" s="437">
        <f t="shared" si="85"/>
        <v>22542100</v>
      </c>
      <c r="O227" s="437">
        <f t="shared" si="85"/>
        <v>23450936</v>
      </c>
      <c r="P227" s="437">
        <f t="shared" si="85"/>
        <v>24403412</v>
      </c>
      <c r="Q227" s="437">
        <f t="shared" si="85"/>
        <v>25364663</v>
      </c>
      <c r="R227" s="437">
        <f t="shared" si="85"/>
        <v>26335503.420000002</v>
      </c>
      <c r="S227" s="437">
        <f t="shared" si="85"/>
        <v>0</v>
      </c>
      <c r="T227" s="437">
        <f t="shared" si="85"/>
        <v>0</v>
      </c>
      <c r="U227" s="437">
        <f t="shared" si="85"/>
        <v>0</v>
      </c>
      <c r="V227" s="437">
        <f t="shared" si="85"/>
        <v>0</v>
      </c>
      <c r="W227" s="437">
        <f t="shared" si="85"/>
        <v>0</v>
      </c>
      <c r="X227" s="437">
        <f t="shared" si="85"/>
        <v>0</v>
      </c>
      <c r="Y227" s="437">
        <f t="shared" si="85"/>
        <v>0</v>
      </c>
      <c r="Z227" s="437">
        <f t="shared" si="85"/>
        <v>0</v>
      </c>
      <c r="AA227" s="437">
        <f t="shared" si="85"/>
        <v>0</v>
      </c>
      <c r="AB227" s="437">
        <f t="shared" si="85"/>
        <v>0</v>
      </c>
      <c r="AC227" s="437">
        <f t="shared" si="85"/>
        <v>0</v>
      </c>
      <c r="AD227" s="437">
        <f t="shared" si="85"/>
        <v>0</v>
      </c>
      <c r="AE227" s="437">
        <f t="shared" si="85"/>
        <v>0</v>
      </c>
      <c r="AF227" s="437">
        <f t="shared" si="85"/>
        <v>0</v>
      </c>
      <c r="AG227" s="437">
        <f t="shared" si="85"/>
        <v>0</v>
      </c>
      <c r="AH227" s="437">
        <f t="shared" si="85"/>
        <v>0</v>
      </c>
      <c r="AI227" s="437">
        <f t="shared" si="85"/>
        <v>0</v>
      </c>
      <c r="AJ227" s="437">
        <f t="shared" si="85"/>
        <v>0</v>
      </c>
      <c r="AK227" s="437">
        <f t="shared" si="85"/>
        <v>0</v>
      </c>
      <c r="AL227" s="438">
        <f t="shared" si="85"/>
        <v>0</v>
      </c>
      <c r="AM227" s="347"/>
    </row>
    <row r="228" spans="2:39" ht="15" hidden="1" outlineLevel="2">
      <c r="B228" s="402"/>
      <c r="C228" s="403"/>
      <c r="D228" s="408" t="s">
        <v>600</v>
      </c>
      <c r="E228" s="457">
        <f t="shared" ref="E228:AL228" si="86">+E7-E71</f>
        <v>14435650.119999999</v>
      </c>
      <c r="F228" s="458">
        <f t="shared" si="86"/>
        <v>16805085.43</v>
      </c>
      <c r="G228" s="458">
        <f t="shared" si="86"/>
        <v>18285411.689999998</v>
      </c>
      <c r="H228" s="459">
        <f t="shared" si="86"/>
        <v>17004529.16</v>
      </c>
      <c r="I228" s="436">
        <f t="shared" si="86"/>
        <v>17791780.379999999</v>
      </c>
      <c r="J228" s="437">
        <f t="shared" si="86"/>
        <v>18807485</v>
      </c>
      <c r="K228" s="437">
        <f t="shared" si="86"/>
        <v>19723927</v>
      </c>
      <c r="L228" s="437">
        <f t="shared" si="86"/>
        <v>20508480</v>
      </c>
      <c r="M228" s="437">
        <f t="shared" si="86"/>
        <v>21415260</v>
      </c>
      <c r="N228" s="437">
        <f t="shared" si="86"/>
        <v>22475900</v>
      </c>
      <c r="O228" s="437">
        <f t="shared" si="86"/>
        <v>23410936</v>
      </c>
      <c r="P228" s="437">
        <f t="shared" si="86"/>
        <v>24383412</v>
      </c>
      <c r="Q228" s="437">
        <f t="shared" si="86"/>
        <v>25294663</v>
      </c>
      <c r="R228" s="437">
        <f t="shared" si="86"/>
        <v>26305503.420000002</v>
      </c>
      <c r="S228" s="437">
        <f t="shared" si="86"/>
        <v>0</v>
      </c>
      <c r="T228" s="437">
        <f t="shared" si="86"/>
        <v>0</v>
      </c>
      <c r="U228" s="437">
        <f t="shared" si="86"/>
        <v>0</v>
      </c>
      <c r="V228" s="437">
        <f t="shared" si="86"/>
        <v>0</v>
      </c>
      <c r="W228" s="437">
        <f t="shared" si="86"/>
        <v>0</v>
      </c>
      <c r="X228" s="437">
        <f t="shared" si="86"/>
        <v>0</v>
      </c>
      <c r="Y228" s="437">
        <f t="shared" si="86"/>
        <v>0</v>
      </c>
      <c r="Z228" s="437">
        <f t="shared" si="86"/>
        <v>0</v>
      </c>
      <c r="AA228" s="437">
        <f t="shared" si="86"/>
        <v>0</v>
      </c>
      <c r="AB228" s="437">
        <f t="shared" si="86"/>
        <v>0</v>
      </c>
      <c r="AC228" s="437">
        <f t="shared" si="86"/>
        <v>0</v>
      </c>
      <c r="AD228" s="437">
        <f t="shared" si="86"/>
        <v>0</v>
      </c>
      <c r="AE228" s="437">
        <f t="shared" si="86"/>
        <v>0</v>
      </c>
      <c r="AF228" s="437">
        <f t="shared" si="86"/>
        <v>0</v>
      </c>
      <c r="AG228" s="437">
        <f t="shared" si="86"/>
        <v>0</v>
      </c>
      <c r="AH228" s="437">
        <f t="shared" si="86"/>
        <v>0</v>
      </c>
      <c r="AI228" s="437">
        <f t="shared" si="86"/>
        <v>0</v>
      </c>
      <c r="AJ228" s="437">
        <f t="shared" si="86"/>
        <v>0</v>
      </c>
      <c r="AK228" s="437">
        <f t="shared" si="86"/>
        <v>0</v>
      </c>
      <c r="AL228" s="438">
        <f t="shared" si="86"/>
        <v>0</v>
      </c>
      <c r="AM228" s="347"/>
    </row>
    <row r="229" spans="2:39" ht="15" hidden="1" outlineLevel="2">
      <c r="B229" s="402"/>
      <c r="C229" s="403"/>
      <c r="D229" s="408" t="s">
        <v>601</v>
      </c>
      <c r="E229" s="457">
        <f t="shared" ref="E229:AL229" si="87">+E14-E74</f>
        <v>1653561.5100000002</v>
      </c>
      <c r="F229" s="458">
        <f t="shared" si="87"/>
        <v>576172.85999999987</v>
      </c>
      <c r="G229" s="458">
        <f t="shared" si="87"/>
        <v>3434970</v>
      </c>
      <c r="H229" s="459">
        <f t="shared" si="87"/>
        <v>1170996.9500000002</v>
      </c>
      <c r="I229" s="436">
        <f t="shared" si="87"/>
        <v>2813487</v>
      </c>
      <c r="J229" s="437">
        <f t="shared" si="87"/>
        <v>1617299</v>
      </c>
      <c r="K229" s="437">
        <f t="shared" si="87"/>
        <v>1147000</v>
      </c>
      <c r="L229" s="437">
        <f t="shared" si="87"/>
        <v>1149000</v>
      </c>
      <c r="M229" s="437">
        <f t="shared" si="87"/>
        <v>327500</v>
      </c>
      <c r="N229" s="437">
        <f t="shared" si="87"/>
        <v>66200</v>
      </c>
      <c r="O229" s="437">
        <f t="shared" si="87"/>
        <v>40000</v>
      </c>
      <c r="P229" s="437">
        <f t="shared" si="87"/>
        <v>20000</v>
      </c>
      <c r="Q229" s="437">
        <f t="shared" si="87"/>
        <v>70000</v>
      </c>
      <c r="R229" s="437">
        <f t="shared" si="87"/>
        <v>30000</v>
      </c>
      <c r="S229" s="437">
        <f t="shared" si="87"/>
        <v>0</v>
      </c>
      <c r="T229" s="437">
        <f t="shared" si="87"/>
        <v>0</v>
      </c>
      <c r="U229" s="437">
        <f t="shared" si="87"/>
        <v>0</v>
      </c>
      <c r="V229" s="437">
        <f t="shared" si="87"/>
        <v>0</v>
      </c>
      <c r="W229" s="437">
        <f t="shared" si="87"/>
        <v>0</v>
      </c>
      <c r="X229" s="437">
        <f t="shared" si="87"/>
        <v>0</v>
      </c>
      <c r="Y229" s="437">
        <f t="shared" si="87"/>
        <v>0</v>
      </c>
      <c r="Z229" s="437">
        <f t="shared" si="87"/>
        <v>0</v>
      </c>
      <c r="AA229" s="437">
        <f t="shared" si="87"/>
        <v>0</v>
      </c>
      <c r="AB229" s="437">
        <f t="shared" si="87"/>
        <v>0</v>
      </c>
      <c r="AC229" s="437">
        <f t="shared" si="87"/>
        <v>0</v>
      </c>
      <c r="AD229" s="437">
        <f t="shared" si="87"/>
        <v>0</v>
      </c>
      <c r="AE229" s="437">
        <f t="shared" si="87"/>
        <v>0</v>
      </c>
      <c r="AF229" s="437">
        <f t="shared" si="87"/>
        <v>0</v>
      </c>
      <c r="AG229" s="437">
        <f t="shared" si="87"/>
        <v>0</v>
      </c>
      <c r="AH229" s="437">
        <f t="shared" si="87"/>
        <v>0</v>
      </c>
      <c r="AI229" s="437">
        <f t="shared" si="87"/>
        <v>0</v>
      </c>
      <c r="AJ229" s="437">
        <f t="shared" si="87"/>
        <v>0</v>
      </c>
      <c r="AK229" s="437">
        <f t="shared" si="87"/>
        <v>0</v>
      </c>
      <c r="AL229" s="438">
        <f t="shared" si="87"/>
        <v>0</v>
      </c>
      <c r="AM229" s="347"/>
    </row>
    <row r="230" spans="2:39" ht="24" hidden="1" outlineLevel="2">
      <c r="B230" s="402"/>
      <c r="C230" s="403"/>
      <c r="D230" s="408" t="s">
        <v>602</v>
      </c>
      <c r="E230" s="457">
        <f t="shared" ref="E230:AL230" si="88">+E14-E74-E15</f>
        <v>28004.860000000335</v>
      </c>
      <c r="F230" s="458">
        <f t="shared" si="88"/>
        <v>323259.5199999999</v>
      </c>
      <c r="G230" s="458">
        <f t="shared" si="88"/>
        <v>1385000</v>
      </c>
      <c r="H230" s="459">
        <f t="shared" si="88"/>
        <v>38949.000000000233</v>
      </c>
      <c r="I230" s="436">
        <f t="shared" si="88"/>
        <v>255366</v>
      </c>
      <c r="J230" s="437">
        <f t="shared" si="88"/>
        <v>217299</v>
      </c>
      <c r="K230" s="437">
        <f t="shared" si="88"/>
        <v>197000</v>
      </c>
      <c r="L230" s="437">
        <f t="shared" si="88"/>
        <v>299000</v>
      </c>
      <c r="M230" s="437">
        <f t="shared" si="88"/>
        <v>127500</v>
      </c>
      <c r="N230" s="437">
        <f t="shared" si="88"/>
        <v>66200</v>
      </c>
      <c r="O230" s="437">
        <f t="shared" si="88"/>
        <v>40000</v>
      </c>
      <c r="P230" s="437">
        <f t="shared" si="88"/>
        <v>20000</v>
      </c>
      <c r="Q230" s="437">
        <f t="shared" si="88"/>
        <v>70000</v>
      </c>
      <c r="R230" s="437">
        <f t="shared" si="88"/>
        <v>30000</v>
      </c>
      <c r="S230" s="437">
        <f t="shared" si="88"/>
        <v>0</v>
      </c>
      <c r="T230" s="437">
        <f t="shared" si="88"/>
        <v>0</v>
      </c>
      <c r="U230" s="437">
        <f t="shared" si="88"/>
        <v>0</v>
      </c>
      <c r="V230" s="437">
        <f t="shared" si="88"/>
        <v>0</v>
      </c>
      <c r="W230" s="437">
        <f t="shared" si="88"/>
        <v>0</v>
      </c>
      <c r="X230" s="437">
        <f t="shared" si="88"/>
        <v>0</v>
      </c>
      <c r="Y230" s="437">
        <f t="shared" si="88"/>
        <v>0</v>
      </c>
      <c r="Z230" s="437">
        <f t="shared" si="88"/>
        <v>0</v>
      </c>
      <c r="AA230" s="437">
        <f t="shared" si="88"/>
        <v>0</v>
      </c>
      <c r="AB230" s="437">
        <f t="shared" si="88"/>
        <v>0</v>
      </c>
      <c r="AC230" s="437">
        <f t="shared" si="88"/>
        <v>0</v>
      </c>
      <c r="AD230" s="437">
        <f t="shared" si="88"/>
        <v>0</v>
      </c>
      <c r="AE230" s="437">
        <f t="shared" si="88"/>
        <v>0</v>
      </c>
      <c r="AF230" s="437">
        <f t="shared" si="88"/>
        <v>0</v>
      </c>
      <c r="AG230" s="437">
        <f t="shared" si="88"/>
        <v>0</v>
      </c>
      <c r="AH230" s="437">
        <f t="shared" si="88"/>
        <v>0</v>
      </c>
      <c r="AI230" s="437">
        <f t="shared" si="88"/>
        <v>0</v>
      </c>
      <c r="AJ230" s="437">
        <f t="shared" si="88"/>
        <v>0</v>
      </c>
      <c r="AK230" s="437">
        <f t="shared" si="88"/>
        <v>0</v>
      </c>
      <c r="AL230" s="438">
        <f t="shared" si="88"/>
        <v>0</v>
      </c>
      <c r="AM230" s="347"/>
    </row>
    <row r="231" spans="2:39" ht="15" hidden="1" outlineLevel="2">
      <c r="B231" s="402"/>
      <c r="C231" s="403"/>
      <c r="D231" s="412" t="s">
        <v>603</v>
      </c>
      <c r="E231" s="460">
        <f t="shared" ref="E231:AL231" si="89">+E15</f>
        <v>1625556.65</v>
      </c>
      <c r="F231" s="461">
        <f t="shared" si="89"/>
        <v>252913.34</v>
      </c>
      <c r="G231" s="461">
        <f t="shared" si="89"/>
        <v>2049970</v>
      </c>
      <c r="H231" s="462">
        <f t="shared" si="89"/>
        <v>1132047.95</v>
      </c>
      <c r="I231" s="445">
        <f t="shared" si="89"/>
        <v>2558121</v>
      </c>
      <c r="J231" s="446">
        <f t="shared" si="89"/>
        <v>1400000</v>
      </c>
      <c r="K231" s="446">
        <f t="shared" si="89"/>
        <v>950000</v>
      </c>
      <c r="L231" s="446">
        <f t="shared" si="89"/>
        <v>850000</v>
      </c>
      <c r="M231" s="446">
        <f t="shared" si="89"/>
        <v>200000</v>
      </c>
      <c r="N231" s="446">
        <f t="shared" si="89"/>
        <v>0</v>
      </c>
      <c r="O231" s="446">
        <f t="shared" si="89"/>
        <v>0</v>
      </c>
      <c r="P231" s="446">
        <f t="shared" si="89"/>
        <v>0</v>
      </c>
      <c r="Q231" s="446">
        <f t="shared" si="89"/>
        <v>0</v>
      </c>
      <c r="R231" s="446">
        <f t="shared" si="89"/>
        <v>0</v>
      </c>
      <c r="S231" s="446">
        <f t="shared" si="89"/>
        <v>0</v>
      </c>
      <c r="T231" s="446">
        <f t="shared" si="89"/>
        <v>0</v>
      </c>
      <c r="U231" s="446">
        <f t="shared" si="89"/>
        <v>0</v>
      </c>
      <c r="V231" s="446">
        <f t="shared" si="89"/>
        <v>0</v>
      </c>
      <c r="W231" s="446">
        <f t="shared" si="89"/>
        <v>0</v>
      </c>
      <c r="X231" s="446">
        <f t="shared" si="89"/>
        <v>0</v>
      </c>
      <c r="Y231" s="446">
        <f t="shared" si="89"/>
        <v>0</v>
      </c>
      <c r="Z231" s="446">
        <f t="shared" si="89"/>
        <v>0</v>
      </c>
      <c r="AA231" s="446">
        <f t="shared" si="89"/>
        <v>0</v>
      </c>
      <c r="AB231" s="446">
        <f t="shared" si="89"/>
        <v>0</v>
      </c>
      <c r="AC231" s="446">
        <f t="shared" si="89"/>
        <v>0</v>
      </c>
      <c r="AD231" s="446">
        <f t="shared" si="89"/>
        <v>0</v>
      </c>
      <c r="AE231" s="446">
        <f t="shared" si="89"/>
        <v>0</v>
      </c>
      <c r="AF231" s="446">
        <f t="shared" si="89"/>
        <v>0</v>
      </c>
      <c r="AG231" s="446">
        <f t="shared" si="89"/>
        <v>0</v>
      </c>
      <c r="AH231" s="446">
        <f t="shared" si="89"/>
        <v>0</v>
      </c>
      <c r="AI231" s="446">
        <f t="shared" si="89"/>
        <v>0</v>
      </c>
      <c r="AJ231" s="446">
        <f t="shared" si="89"/>
        <v>0</v>
      </c>
      <c r="AK231" s="446">
        <f t="shared" si="89"/>
        <v>0</v>
      </c>
      <c r="AL231" s="447">
        <f t="shared" si="89"/>
        <v>0</v>
      </c>
      <c r="AM231" s="347"/>
    </row>
    <row r="232" spans="2:39" hidden="1" outlineLevel="2">
      <c r="B232" s="395"/>
      <c r="C232" s="396"/>
      <c r="D232" s="397" t="s">
        <v>228</v>
      </c>
      <c r="E232" s="454">
        <f t="shared" ref="E232:AL232" si="90">+E17</f>
        <v>18802683.050000001</v>
      </c>
      <c r="F232" s="455">
        <f t="shared" si="90"/>
        <v>24474004.48</v>
      </c>
      <c r="G232" s="455">
        <f t="shared" si="90"/>
        <v>23725361.149999999</v>
      </c>
      <c r="H232" s="456">
        <f t="shared" si="90"/>
        <v>19823836.719999999</v>
      </c>
      <c r="I232" s="430">
        <f t="shared" si="90"/>
        <v>20210309.579999998</v>
      </c>
      <c r="J232" s="431">
        <f t="shared" si="90"/>
        <v>18765954</v>
      </c>
      <c r="K232" s="431">
        <f t="shared" si="90"/>
        <v>19287517</v>
      </c>
      <c r="L232" s="431">
        <f t="shared" si="90"/>
        <v>20502070</v>
      </c>
      <c r="M232" s="431">
        <f t="shared" si="90"/>
        <v>20686850</v>
      </c>
      <c r="N232" s="431">
        <f t="shared" si="90"/>
        <v>21772490</v>
      </c>
      <c r="O232" s="431">
        <f t="shared" si="90"/>
        <v>22457526</v>
      </c>
      <c r="P232" s="431">
        <f t="shared" si="90"/>
        <v>25773396</v>
      </c>
      <c r="Q232" s="431">
        <f t="shared" si="90"/>
        <v>29035811</v>
      </c>
      <c r="R232" s="431">
        <f t="shared" si="90"/>
        <v>30546570</v>
      </c>
      <c r="S232" s="431">
        <f t="shared" si="90"/>
        <v>0</v>
      </c>
      <c r="T232" s="431">
        <f t="shared" si="90"/>
        <v>0</v>
      </c>
      <c r="U232" s="431">
        <f t="shared" si="90"/>
        <v>0</v>
      </c>
      <c r="V232" s="431">
        <f t="shared" si="90"/>
        <v>0</v>
      </c>
      <c r="W232" s="431">
        <f t="shared" si="90"/>
        <v>0</v>
      </c>
      <c r="X232" s="431">
        <f t="shared" si="90"/>
        <v>0</v>
      </c>
      <c r="Y232" s="431">
        <f t="shared" si="90"/>
        <v>0</v>
      </c>
      <c r="Z232" s="431">
        <f t="shared" si="90"/>
        <v>0</v>
      </c>
      <c r="AA232" s="431">
        <f t="shared" si="90"/>
        <v>0</v>
      </c>
      <c r="AB232" s="431">
        <f t="shared" si="90"/>
        <v>0</v>
      </c>
      <c r="AC232" s="431">
        <f t="shared" si="90"/>
        <v>0</v>
      </c>
      <c r="AD232" s="431">
        <f t="shared" si="90"/>
        <v>0</v>
      </c>
      <c r="AE232" s="431">
        <f t="shared" si="90"/>
        <v>0</v>
      </c>
      <c r="AF232" s="431">
        <f t="shared" si="90"/>
        <v>0</v>
      </c>
      <c r="AG232" s="431">
        <f t="shared" si="90"/>
        <v>0</v>
      </c>
      <c r="AH232" s="431">
        <f t="shared" si="90"/>
        <v>0</v>
      </c>
      <c r="AI232" s="431">
        <f t="shared" si="90"/>
        <v>0</v>
      </c>
      <c r="AJ232" s="431">
        <f t="shared" si="90"/>
        <v>0</v>
      </c>
      <c r="AK232" s="431">
        <f t="shared" si="90"/>
        <v>0</v>
      </c>
      <c r="AL232" s="432">
        <f t="shared" si="90"/>
        <v>0</v>
      </c>
      <c r="AM232" s="401"/>
    </row>
    <row r="233" spans="2:39" ht="24" hidden="1" outlineLevel="2">
      <c r="B233" s="402"/>
      <c r="C233" s="403"/>
      <c r="D233" s="416" t="s">
        <v>604</v>
      </c>
      <c r="E233" s="457">
        <f t="shared" ref="E233:AL233" si="91">+E17-E77-E80</f>
        <v>18802683.050000001</v>
      </c>
      <c r="F233" s="458">
        <f t="shared" si="91"/>
        <v>16807671.350000001</v>
      </c>
      <c r="G233" s="458">
        <f t="shared" si="91"/>
        <v>21411937.75</v>
      </c>
      <c r="H233" s="459">
        <f t="shared" si="91"/>
        <v>17816827.319999997</v>
      </c>
      <c r="I233" s="436">
        <f t="shared" si="91"/>
        <v>18299492.989999998</v>
      </c>
      <c r="J233" s="437">
        <f t="shared" si="91"/>
        <v>18378742</v>
      </c>
      <c r="K233" s="437">
        <f t="shared" si="91"/>
        <v>18850087</v>
      </c>
      <c r="L233" s="437">
        <f t="shared" si="91"/>
        <v>19492070</v>
      </c>
      <c r="M233" s="437">
        <f t="shared" si="91"/>
        <v>18901850</v>
      </c>
      <c r="N233" s="437">
        <f t="shared" si="91"/>
        <v>19425690</v>
      </c>
      <c r="O233" s="437">
        <f t="shared" si="91"/>
        <v>20207526</v>
      </c>
      <c r="P233" s="437">
        <f t="shared" si="91"/>
        <v>20899396</v>
      </c>
      <c r="Q233" s="437">
        <f t="shared" si="91"/>
        <v>20835811</v>
      </c>
      <c r="R233" s="437">
        <f t="shared" si="91"/>
        <v>21696570</v>
      </c>
      <c r="S233" s="437">
        <f t="shared" si="91"/>
        <v>0</v>
      </c>
      <c r="T233" s="437">
        <f t="shared" si="91"/>
        <v>0</v>
      </c>
      <c r="U233" s="437">
        <f t="shared" si="91"/>
        <v>0</v>
      </c>
      <c r="V233" s="437">
        <f t="shared" si="91"/>
        <v>0</v>
      </c>
      <c r="W233" s="437">
        <f t="shared" si="91"/>
        <v>0</v>
      </c>
      <c r="X233" s="437">
        <f t="shared" si="91"/>
        <v>0</v>
      </c>
      <c r="Y233" s="437">
        <f t="shared" si="91"/>
        <v>0</v>
      </c>
      <c r="Z233" s="437">
        <f t="shared" si="91"/>
        <v>0</v>
      </c>
      <c r="AA233" s="437">
        <f t="shared" si="91"/>
        <v>0</v>
      </c>
      <c r="AB233" s="437">
        <f t="shared" si="91"/>
        <v>0</v>
      </c>
      <c r="AC233" s="437">
        <f t="shared" si="91"/>
        <v>0</v>
      </c>
      <c r="AD233" s="437">
        <f t="shared" si="91"/>
        <v>0</v>
      </c>
      <c r="AE233" s="437">
        <f t="shared" si="91"/>
        <v>0</v>
      </c>
      <c r="AF233" s="437">
        <f t="shared" si="91"/>
        <v>0</v>
      </c>
      <c r="AG233" s="437">
        <f t="shared" si="91"/>
        <v>0</v>
      </c>
      <c r="AH233" s="437">
        <f t="shared" si="91"/>
        <v>0</v>
      </c>
      <c r="AI233" s="437">
        <f t="shared" si="91"/>
        <v>0</v>
      </c>
      <c r="AJ233" s="437">
        <f t="shared" si="91"/>
        <v>0</v>
      </c>
      <c r="AK233" s="437">
        <f t="shared" si="91"/>
        <v>0</v>
      </c>
      <c r="AL233" s="438">
        <f t="shared" si="91"/>
        <v>0</v>
      </c>
      <c r="AM233" s="347"/>
    </row>
    <row r="234" spans="2:39" hidden="1" outlineLevel="2">
      <c r="B234" s="395"/>
      <c r="C234" s="396"/>
      <c r="D234" s="417" t="s">
        <v>605</v>
      </c>
      <c r="E234" s="463">
        <f t="shared" ref="E234:AL234" si="92">+E18</f>
        <v>13267074.91</v>
      </c>
      <c r="F234" s="464">
        <f t="shared" si="92"/>
        <v>15684142.16</v>
      </c>
      <c r="G234" s="464">
        <f t="shared" si="92"/>
        <v>18080461.149999999</v>
      </c>
      <c r="H234" s="465">
        <f t="shared" si="92"/>
        <v>16022654.210000001</v>
      </c>
      <c r="I234" s="451">
        <f t="shared" si="92"/>
        <v>17023401.670000002</v>
      </c>
      <c r="J234" s="452">
        <f t="shared" si="92"/>
        <v>16829326</v>
      </c>
      <c r="K234" s="452">
        <f t="shared" si="92"/>
        <v>17079900</v>
      </c>
      <c r="L234" s="452">
        <f t="shared" si="92"/>
        <v>17371589</v>
      </c>
      <c r="M234" s="452">
        <f t="shared" si="92"/>
        <v>17791850</v>
      </c>
      <c r="N234" s="452">
        <f t="shared" si="92"/>
        <v>18165690</v>
      </c>
      <c r="O234" s="452">
        <f t="shared" si="92"/>
        <v>18538090</v>
      </c>
      <c r="P234" s="452">
        <f t="shared" si="92"/>
        <v>18926850</v>
      </c>
      <c r="Q234" s="452">
        <f t="shared" si="92"/>
        <v>19623387</v>
      </c>
      <c r="R234" s="452">
        <f t="shared" si="92"/>
        <v>20327900</v>
      </c>
      <c r="S234" s="452">
        <f t="shared" si="92"/>
        <v>0</v>
      </c>
      <c r="T234" s="452">
        <f t="shared" si="92"/>
        <v>0</v>
      </c>
      <c r="U234" s="452">
        <f t="shared" si="92"/>
        <v>0</v>
      </c>
      <c r="V234" s="452">
        <f t="shared" si="92"/>
        <v>0</v>
      </c>
      <c r="W234" s="452">
        <f t="shared" si="92"/>
        <v>0</v>
      </c>
      <c r="X234" s="452">
        <f t="shared" si="92"/>
        <v>0</v>
      </c>
      <c r="Y234" s="452">
        <f t="shared" si="92"/>
        <v>0</v>
      </c>
      <c r="Z234" s="452">
        <f t="shared" si="92"/>
        <v>0</v>
      </c>
      <c r="AA234" s="452">
        <f t="shared" si="92"/>
        <v>0</v>
      </c>
      <c r="AB234" s="452">
        <f t="shared" si="92"/>
        <v>0</v>
      </c>
      <c r="AC234" s="452">
        <f t="shared" si="92"/>
        <v>0</v>
      </c>
      <c r="AD234" s="452">
        <f t="shared" si="92"/>
        <v>0</v>
      </c>
      <c r="AE234" s="452">
        <f t="shared" si="92"/>
        <v>0</v>
      </c>
      <c r="AF234" s="452">
        <f t="shared" si="92"/>
        <v>0</v>
      </c>
      <c r="AG234" s="452">
        <f t="shared" si="92"/>
        <v>0</v>
      </c>
      <c r="AH234" s="452">
        <f t="shared" si="92"/>
        <v>0</v>
      </c>
      <c r="AI234" s="452">
        <f t="shared" si="92"/>
        <v>0</v>
      </c>
      <c r="AJ234" s="452">
        <f t="shared" si="92"/>
        <v>0</v>
      </c>
      <c r="AK234" s="452">
        <f t="shared" si="92"/>
        <v>0</v>
      </c>
      <c r="AL234" s="453">
        <f t="shared" si="92"/>
        <v>0</v>
      </c>
      <c r="AM234" s="401"/>
    </row>
    <row r="235" spans="2:39" ht="24" hidden="1" outlineLevel="2">
      <c r="B235" s="402"/>
      <c r="C235" s="403"/>
      <c r="D235" s="408" t="s">
        <v>606</v>
      </c>
      <c r="E235" s="457">
        <f t="shared" ref="E235:AL235" si="93">+E18-E77</f>
        <v>13267074.91</v>
      </c>
      <c r="F235" s="458">
        <f t="shared" si="93"/>
        <v>14912545.640000001</v>
      </c>
      <c r="G235" s="458">
        <f t="shared" si="93"/>
        <v>17449633.75</v>
      </c>
      <c r="H235" s="459">
        <f t="shared" si="93"/>
        <v>15393049</v>
      </c>
      <c r="I235" s="436">
        <f t="shared" si="93"/>
        <v>16335253.450000001</v>
      </c>
      <c r="J235" s="437">
        <f t="shared" si="93"/>
        <v>16542114</v>
      </c>
      <c r="K235" s="437">
        <f t="shared" si="93"/>
        <v>16969900</v>
      </c>
      <c r="L235" s="437">
        <f t="shared" si="93"/>
        <v>17261589</v>
      </c>
      <c r="M235" s="437">
        <f t="shared" si="93"/>
        <v>17731850</v>
      </c>
      <c r="N235" s="437">
        <f t="shared" si="93"/>
        <v>18105690</v>
      </c>
      <c r="O235" s="437">
        <f t="shared" si="93"/>
        <v>18538090</v>
      </c>
      <c r="P235" s="437">
        <f t="shared" si="93"/>
        <v>18926850</v>
      </c>
      <c r="Q235" s="437">
        <f t="shared" si="93"/>
        <v>19623387</v>
      </c>
      <c r="R235" s="437">
        <f t="shared" si="93"/>
        <v>20327900</v>
      </c>
      <c r="S235" s="437">
        <f t="shared" si="93"/>
        <v>0</v>
      </c>
      <c r="T235" s="437">
        <f t="shared" si="93"/>
        <v>0</v>
      </c>
      <c r="U235" s="437">
        <f t="shared" si="93"/>
        <v>0</v>
      </c>
      <c r="V235" s="437">
        <f t="shared" si="93"/>
        <v>0</v>
      </c>
      <c r="W235" s="437">
        <f t="shared" si="93"/>
        <v>0</v>
      </c>
      <c r="X235" s="437">
        <f t="shared" si="93"/>
        <v>0</v>
      </c>
      <c r="Y235" s="437">
        <f t="shared" si="93"/>
        <v>0</v>
      </c>
      <c r="Z235" s="437">
        <f t="shared" si="93"/>
        <v>0</v>
      </c>
      <c r="AA235" s="437">
        <f t="shared" si="93"/>
        <v>0</v>
      </c>
      <c r="AB235" s="437">
        <f t="shared" si="93"/>
        <v>0</v>
      </c>
      <c r="AC235" s="437">
        <f t="shared" si="93"/>
        <v>0</v>
      </c>
      <c r="AD235" s="437">
        <f t="shared" si="93"/>
        <v>0</v>
      </c>
      <c r="AE235" s="437">
        <f t="shared" si="93"/>
        <v>0</v>
      </c>
      <c r="AF235" s="437">
        <f t="shared" si="93"/>
        <v>0</v>
      </c>
      <c r="AG235" s="437">
        <f t="shared" si="93"/>
        <v>0</v>
      </c>
      <c r="AH235" s="437">
        <f t="shared" si="93"/>
        <v>0</v>
      </c>
      <c r="AI235" s="437">
        <f t="shared" si="93"/>
        <v>0</v>
      </c>
      <c r="AJ235" s="437">
        <f t="shared" si="93"/>
        <v>0</v>
      </c>
      <c r="AK235" s="437">
        <f t="shared" si="93"/>
        <v>0</v>
      </c>
      <c r="AL235" s="438">
        <f t="shared" si="93"/>
        <v>0</v>
      </c>
      <c r="AM235" s="347"/>
    </row>
    <row r="236" spans="2:39" ht="15" hidden="1" outlineLevel="2">
      <c r="B236" s="402"/>
      <c r="C236" s="403"/>
      <c r="D236" s="408" t="s">
        <v>607</v>
      </c>
      <c r="E236" s="457">
        <f>+E62</f>
        <v>5888275.54</v>
      </c>
      <c r="F236" s="458">
        <f>+F62</f>
        <v>6513898.96</v>
      </c>
      <c r="G236" s="458">
        <f>+G62</f>
        <v>6919615.9000000004</v>
      </c>
      <c r="H236" s="459">
        <f>+H62</f>
        <v>6622241.0899999999</v>
      </c>
      <c r="I236" s="436">
        <f>+I62</f>
        <v>6596199.0300000003</v>
      </c>
      <c r="J236" s="437">
        <f t="shared" ref="J236:AL236" si="94">+J62</f>
        <v>6785825</v>
      </c>
      <c r="K236" s="437">
        <f t="shared" si="94"/>
        <v>6921542</v>
      </c>
      <c r="L236" s="437">
        <f t="shared" si="94"/>
        <v>7059980</v>
      </c>
      <c r="M236" s="437">
        <f t="shared" si="94"/>
        <v>0</v>
      </c>
      <c r="N236" s="437">
        <f t="shared" si="94"/>
        <v>0</v>
      </c>
      <c r="O236" s="437">
        <f t="shared" si="94"/>
        <v>0</v>
      </c>
      <c r="P236" s="437">
        <f t="shared" si="94"/>
        <v>0</v>
      </c>
      <c r="Q236" s="437">
        <f t="shared" si="94"/>
        <v>0</v>
      </c>
      <c r="R236" s="437">
        <f t="shared" si="94"/>
        <v>0</v>
      </c>
      <c r="S236" s="437">
        <f t="shared" si="94"/>
        <v>0</v>
      </c>
      <c r="T236" s="437">
        <f t="shared" si="94"/>
        <v>0</v>
      </c>
      <c r="U236" s="437">
        <f t="shared" si="94"/>
        <v>0</v>
      </c>
      <c r="V236" s="437">
        <f t="shared" si="94"/>
        <v>0</v>
      </c>
      <c r="W236" s="437">
        <f t="shared" si="94"/>
        <v>0</v>
      </c>
      <c r="X236" s="437">
        <f t="shared" si="94"/>
        <v>0</v>
      </c>
      <c r="Y236" s="437">
        <f t="shared" si="94"/>
        <v>0</v>
      </c>
      <c r="Z236" s="437">
        <f t="shared" si="94"/>
        <v>0</v>
      </c>
      <c r="AA236" s="437">
        <f t="shared" si="94"/>
        <v>0</v>
      </c>
      <c r="AB236" s="437">
        <f t="shared" si="94"/>
        <v>0</v>
      </c>
      <c r="AC236" s="437">
        <f t="shared" si="94"/>
        <v>0</v>
      </c>
      <c r="AD236" s="437">
        <f t="shared" si="94"/>
        <v>0</v>
      </c>
      <c r="AE236" s="437">
        <f t="shared" si="94"/>
        <v>0</v>
      </c>
      <c r="AF236" s="437">
        <f t="shared" si="94"/>
        <v>0</v>
      </c>
      <c r="AG236" s="437">
        <f t="shared" si="94"/>
        <v>0</v>
      </c>
      <c r="AH236" s="437">
        <f t="shared" si="94"/>
        <v>0</v>
      </c>
      <c r="AI236" s="437">
        <f t="shared" si="94"/>
        <v>0</v>
      </c>
      <c r="AJ236" s="437">
        <f t="shared" si="94"/>
        <v>0</v>
      </c>
      <c r="AK236" s="437">
        <f t="shared" si="94"/>
        <v>0</v>
      </c>
      <c r="AL236" s="438">
        <f t="shared" si="94"/>
        <v>0</v>
      </c>
      <c r="AM236" s="347"/>
    </row>
    <row r="237" spans="2:39" ht="36" hidden="1" outlineLevel="2">
      <c r="B237" s="402"/>
      <c r="C237" s="403"/>
      <c r="D237" s="412" t="s">
        <v>608</v>
      </c>
      <c r="E237" s="460">
        <f t="shared" ref="E237:AL237" si="95">+E18-E19-E22-E62-E63</f>
        <v>6672075.0300000003</v>
      </c>
      <c r="F237" s="461">
        <f t="shared" si="95"/>
        <v>5320156.9400000004</v>
      </c>
      <c r="G237" s="461">
        <f t="shared" si="95"/>
        <v>7018135.2499999981</v>
      </c>
      <c r="H237" s="462">
        <f t="shared" si="95"/>
        <v>5682728.8200000022</v>
      </c>
      <c r="I237" s="445">
        <f t="shared" si="95"/>
        <v>6539558.6400000006</v>
      </c>
      <c r="J237" s="446">
        <f t="shared" si="95"/>
        <v>6203213</v>
      </c>
      <c r="K237" s="446">
        <f t="shared" si="95"/>
        <v>6364857</v>
      </c>
      <c r="L237" s="446">
        <f t="shared" si="95"/>
        <v>6557096</v>
      </c>
      <c r="M237" s="446">
        <f t="shared" si="95"/>
        <v>17388180</v>
      </c>
      <c r="N237" s="446">
        <f t="shared" si="95"/>
        <v>17886083</v>
      </c>
      <c r="O237" s="446">
        <f t="shared" si="95"/>
        <v>18370847</v>
      </c>
      <c r="P237" s="446">
        <f t="shared" si="95"/>
        <v>18866533</v>
      </c>
      <c r="Q237" s="446">
        <f t="shared" si="95"/>
        <v>19610107</v>
      </c>
      <c r="R237" s="446">
        <f t="shared" si="95"/>
        <v>20321240</v>
      </c>
      <c r="S237" s="446">
        <f t="shared" si="95"/>
        <v>0</v>
      </c>
      <c r="T237" s="446">
        <f t="shared" si="95"/>
        <v>0</v>
      </c>
      <c r="U237" s="446">
        <f t="shared" si="95"/>
        <v>0</v>
      </c>
      <c r="V237" s="446">
        <f t="shared" si="95"/>
        <v>0</v>
      </c>
      <c r="W237" s="446">
        <f t="shared" si="95"/>
        <v>0</v>
      </c>
      <c r="X237" s="446">
        <f t="shared" si="95"/>
        <v>0</v>
      </c>
      <c r="Y237" s="446">
        <f t="shared" si="95"/>
        <v>0</v>
      </c>
      <c r="Z237" s="446">
        <f t="shared" si="95"/>
        <v>0</v>
      </c>
      <c r="AA237" s="446">
        <f t="shared" si="95"/>
        <v>0</v>
      </c>
      <c r="AB237" s="446">
        <f t="shared" si="95"/>
        <v>0</v>
      </c>
      <c r="AC237" s="446">
        <f t="shared" si="95"/>
        <v>0</v>
      </c>
      <c r="AD237" s="446">
        <f t="shared" si="95"/>
        <v>0</v>
      </c>
      <c r="AE237" s="446">
        <f t="shared" si="95"/>
        <v>0</v>
      </c>
      <c r="AF237" s="446">
        <f t="shared" si="95"/>
        <v>0</v>
      </c>
      <c r="AG237" s="446">
        <f t="shared" si="95"/>
        <v>0</v>
      </c>
      <c r="AH237" s="446">
        <f t="shared" si="95"/>
        <v>0</v>
      </c>
      <c r="AI237" s="446">
        <f t="shared" si="95"/>
        <v>0</v>
      </c>
      <c r="AJ237" s="446">
        <f t="shared" si="95"/>
        <v>0</v>
      </c>
      <c r="AK237" s="446">
        <f t="shared" si="95"/>
        <v>0</v>
      </c>
      <c r="AL237" s="447">
        <f t="shared" si="95"/>
        <v>0</v>
      </c>
      <c r="AM237" s="347"/>
    </row>
    <row r="238" spans="2:39" outlineLevel="2">
      <c r="D238" s="466"/>
      <c r="E238" s="467"/>
      <c r="F238" s="467"/>
      <c r="G238" s="467"/>
      <c r="H238" s="467"/>
      <c r="I238" s="468"/>
      <c r="J238" s="468"/>
      <c r="K238" s="468"/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8"/>
      <c r="X238" s="468"/>
      <c r="Y238" s="468"/>
      <c r="Z238" s="468"/>
      <c r="AA238" s="468"/>
      <c r="AB238" s="468"/>
      <c r="AC238" s="468"/>
      <c r="AD238" s="468"/>
      <c r="AE238" s="468"/>
      <c r="AF238" s="468"/>
      <c r="AG238" s="468"/>
      <c r="AH238" s="468"/>
      <c r="AI238" s="468"/>
      <c r="AJ238" s="468"/>
      <c r="AK238" s="468"/>
      <c r="AL238" s="468"/>
    </row>
  </sheetData>
  <sheetProtection formatCells="0" formatColumns="0" formatRows="0" insertColumns="0" deleteColumns="0"/>
  <autoFilter ref="A5:A106"/>
  <mergeCells count="2">
    <mergeCell ref="L1:R1"/>
    <mergeCell ref="B3:R3"/>
  </mergeCells>
  <conditionalFormatting sqref="I57:AL58">
    <cfRule type="expression" dxfId="17" priority="18" stopIfTrue="1">
      <formula>LEFT(I57,3)="Nie"</formula>
    </cfRule>
  </conditionalFormatting>
  <conditionalFormatting sqref="I200:AL211">
    <cfRule type="cellIs" dxfId="16" priority="15" stopIfTrue="1" operator="notBetween">
      <formula>-$D$199</formula>
      <formula>$D$199</formula>
    </cfRule>
    <cfRule type="cellIs" dxfId="15" priority="16" stopIfTrue="1" operator="notBetween">
      <formula>-$D$198</formula>
      <formula>$D$198</formula>
    </cfRule>
    <cfRule type="cellIs" dxfId="14" priority="17" stopIfTrue="1" operator="notBetween">
      <formula>-$D$197</formula>
      <formula>$D$197</formula>
    </cfRule>
  </conditionalFormatting>
  <conditionalFormatting sqref="I125:AL125">
    <cfRule type="cellIs" dxfId="13" priority="14" stopIfTrue="1" operator="between">
      <formula>0</formula>
      <formula>1000000000000</formula>
    </cfRule>
  </conditionalFormatting>
  <conditionalFormatting sqref="I126:AL128">
    <cfRule type="cellIs" dxfId="12" priority="13" stopIfTrue="1" operator="between">
      <formula>-1000000000000</formula>
      <formula>1000000000000</formula>
    </cfRule>
  </conditionalFormatting>
  <conditionalFormatting sqref="I123:AL124">
    <cfRule type="cellIs" dxfId="11" priority="12" stopIfTrue="1" operator="between">
      <formula>-1000000000000</formula>
      <formula>1000000000000</formula>
    </cfRule>
  </conditionalFormatting>
  <conditionalFormatting sqref="I129:AL137 I139:AL146 I151:AL153 I159:AL178 I155:AL157">
    <cfRule type="cellIs" dxfId="10" priority="11" stopIfTrue="1" operator="equal">
      <formula>"BŁĄD"</formula>
    </cfRule>
  </conditionalFormatting>
  <conditionalFormatting sqref="I192:AL195">
    <cfRule type="cellIs" dxfId="9" priority="8" stopIfTrue="1" operator="lessThan">
      <formula>$D$189</formula>
    </cfRule>
    <cfRule type="cellIs" dxfId="8" priority="9" stopIfTrue="1" operator="lessThan">
      <formula>$D$190</formula>
    </cfRule>
    <cfRule type="cellIs" dxfId="7" priority="10" stopIfTrue="1" operator="lessThan">
      <formula>$D$191</formula>
    </cfRule>
  </conditionalFormatting>
  <conditionalFormatting sqref="I138:AL138">
    <cfRule type="cellIs" dxfId="6" priority="7" stopIfTrue="1" operator="equal">
      <formula>"BŁĄD"</formula>
    </cfRule>
  </conditionalFormatting>
  <conditionalFormatting sqref="I147:AL147">
    <cfRule type="cellIs" dxfId="5" priority="6" stopIfTrue="1" operator="equal">
      <formula>"BŁĄD"</formula>
    </cfRule>
  </conditionalFormatting>
  <conditionalFormatting sqref="I148:AL148">
    <cfRule type="cellIs" dxfId="4" priority="5" stopIfTrue="1" operator="equal">
      <formula>"BŁĄD"</formula>
    </cfRule>
  </conditionalFormatting>
  <conditionalFormatting sqref="I149:AL149">
    <cfRule type="cellIs" dxfId="3" priority="4" stopIfTrue="1" operator="equal">
      <formula>"BŁĄD"</formula>
    </cfRule>
  </conditionalFormatting>
  <conditionalFormatting sqref="I150:AL150">
    <cfRule type="cellIs" dxfId="2" priority="3" stopIfTrue="1" operator="equal">
      <formula>"BŁĄD"</formula>
    </cfRule>
  </conditionalFormatting>
  <conditionalFormatting sqref="I158:AL158">
    <cfRule type="cellIs" dxfId="1" priority="2" stopIfTrue="1" operator="equal">
      <formula>"BŁĄD"</formula>
    </cfRule>
  </conditionalFormatting>
  <conditionalFormatting sqref="I154:AL154">
    <cfRule type="cellIs" dxfId="0" priority="1" stopIfTrue="1" operator="equal">
      <formula>"BŁĄD"</formula>
    </cfRule>
  </conditionalFormatting>
  <pageMargins left="0.26" right="0.23" top="0.47244094488188981" bottom="0.3" header="0.31496062992125984" footer="0.31496062992125984"/>
  <pageSetup paperSize="9" scale="63" orientation="landscape" blackAndWhite="1" horizontalDpi="4294967293" verticalDpi="4294967293" r:id="rId1"/>
  <headerFooter>
    <oddFooter>&amp;L&amp;"Czcionka tekstu podstawowego,Kursywa"&amp;8Wersja szablonu wydruku: 2014-01-23a&amp;C&amp;8Strona &amp;P z &amp;N&amp;R&amp;8Wydruk z dn.: &amp;D - &amp;T</oddFooter>
  </headerFooter>
  <rowBreaks count="2" manualBreakCount="2">
    <brk id="45" min="1" max="17" man="1"/>
    <brk id="76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19"/>
  <sheetViews>
    <sheetView topLeftCell="D1" zoomScaleSheetLayoutView="61" workbookViewId="0">
      <pane ySplit="6" topLeftCell="A76" activePane="bottomLeft" state="frozen"/>
      <selection pane="bottomLeft" activeCell="K1" sqref="K1:S1"/>
    </sheetView>
  </sheetViews>
  <sheetFormatPr defaultColWidth="9.140625" defaultRowHeight="14.25"/>
  <cols>
    <col min="1" max="1" width="6.7109375" style="1" customWidth="1"/>
    <col min="2" max="2" width="24.7109375" style="1" customWidth="1"/>
    <col min="3" max="3" width="13.5703125" style="1" customWidth="1"/>
    <col min="4" max="4" width="5.5703125" style="1" customWidth="1"/>
    <col min="5" max="5" width="6.140625" style="1" customWidth="1"/>
    <col min="6" max="6" width="12.28515625" style="1" customWidth="1"/>
    <col min="7" max="7" width="12.28515625" style="1" hidden="1" customWidth="1"/>
    <col min="8" max="8" width="11" style="1" hidden="1" customWidth="1"/>
    <col min="9" max="9" width="11.5703125" style="1" customWidth="1"/>
    <col min="10" max="10" width="11.140625" style="1" customWidth="1"/>
    <col min="11" max="16" width="11.28515625" style="1" customWidth="1"/>
    <col min="17" max="17" width="11" style="1" customWidth="1"/>
    <col min="18" max="18" width="11.7109375" style="1" customWidth="1"/>
    <col min="19" max="19" width="12" style="1" customWidth="1"/>
    <col min="20" max="20" width="12.5703125" style="1" bestFit="1" customWidth="1"/>
    <col min="21" max="256" width="9.140625" style="1"/>
    <col min="257" max="257" width="6.7109375" style="1" customWidth="1"/>
    <col min="258" max="258" width="25.140625" style="1" customWidth="1"/>
    <col min="259" max="259" width="16.42578125" style="1" customWidth="1"/>
    <col min="260" max="261" width="6.5703125" style="1" customWidth="1"/>
    <col min="262" max="262" width="13.42578125" style="1" customWidth="1"/>
    <col min="263" max="263" width="0" style="1" hidden="1" customWidth="1"/>
    <col min="264" max="264" width="11.5703125" style="1" customWidth="1"/>
    <col min="265" max="265" width="11.28515625" style="1" customWidth="1"/>
    <col min="266" max="266" width="11.140625" style="1" customWidth="1"/>
    <col min="267" max="272" width="11.28515625" style="1" customWidth="1"/>
    <col min="273" max="273" width="10.85546875" style="1" customWidth="1"/>
    <col min="274" max="274" width="11.28515625" style="1" customWidth="1"/>
    <col min="275" max="275" width="13" style="1" customWidth="1"/>
    <col min="276" max="512" width="9.140625" style="1"/>
    <col min="513" max="513" width="6.7109375" style="1" customWidth="1"/>
    <col min="514" max="514" width="25.140625" style="1" customWidth="1"/>
    <col min="515" max="515" width="16.42578125" style="1" customWidth="1"/>
    <col min="516" max="517" width="6.5703125" style="1" customWidth="1"/>
    <col min="518" max="518" width="13.42578125" style="1" customWidth="1"/>
    <col min="519" max="519" width="0" style="1" hidden="1" customWidth="1"/>
    <col min="520" max="520" width="11.5703125" style="1" customWidth="1"/>
    <col min="521" max="521" width="11.28515625" style="1" customWidth="1"/>
    <col min="522" max="522" width="11.140625" style="1" customWidth="1"/>
    <col min="523" max="528" width="11.28515625" style="1" customWidth="1"/>
    <col min="529" max="529" width="10.85546875" style="1" customWidth="1"/>
    <col min="530" max="530" width="11.28515625" style="1" customWidth="1"/>
    <col min="531" max="531" width="13" style="1" customWidth="1"/>
    <col min="532" max="768" width="9.140625" style="1"/>
    <col min="769" max="769" width="6.7109375" style="1" customWidth="1"/>
    <col min="770" max="770" width="25.140625" style="1" customWidth="1"/>
    <col min="771" max="771" width="16.42578125" style="1" customWidth="1"/>
    <col min="772" max="773" width="6.5703125" style="1" customWidth="1"/>
    <col min="774" max="774" width="13.42578125" style="1" customWidth="1"/>
    <col min="775" max="775" width="0" style="1" hidden="1" customWidth="1"/>
    <col min="776" max="776" width="11.5703125" style="1" customWidth="1"/>
    <col min="777" max="777" width="11.28515625" style="1" customWidth="1"/>
    <col min="778" max="778" width="11.140625" style="1" customWidth="1"/>
    <col min="779" max="784" width="11.28515625" style="1" customWidth="1"/>
    <col min="785" max="785" width="10.85546875" style="1" customWidth="1"/>
    <col min="786" max="786" width="11.28515625" style="1" customWidth="1"/>
    <col min="787" max="787" width="13" style="1" customWidth="1"/>
    <col min="788" max="1024" width="9.140625" style="1"/>
    <col min="1025" max="1025" width="6.7109375" style="1" customWidth="1"/>
    <col min="1026" max="1026" width="25.140625" style="1" customWidth="1"/>
    <col min="1027" max="1027" width="16.42578125" style="1" customWidth="1"/>
    <col min="1028" max="1029" width="6.5703125" style="1" customWidth="1"/>
    <col min="1030" max="1030" width="13.42578125" style="1" customWidth="1"/>
    <col min="1031" max="1031" width="0" style="1" hidden="1" customWidth="1"/>
    <col min="1032" max="1032" width="11.5703125" style="1" customWidth="1"/>
    <col min="1033" max="1033" width="11.28515625" style="1" customWidth="1"/>
    <col min="1034" max="1034" width="11.140625" style="1" customWidth="1"/>
    <col min="1035" max="1040" width="11.28515625" style="1" customWidth="1"/>
    <col min="1041" max="1041" width="10.85546875" style="1" customWidth="1"/>
    <col min="1042" max="1042" width="11.28515625" style="1" customWidth="1"/>
    <col min="1043" max="1043" width="13" style="1" customWidth="1"/>
    <col min="1044" max="1280" width="9.140625" style="1"/>
    <col min="1281" max="1281" width="6.7109375" style="1" customWidth="1"/>
    <col min="1282" max="1282" width="25.140625" style="1" customWidth="1"/>
    <col min="1283" max="1283" width="16.42578125" style="1" customWidth="1"/>
    <col min="1284" max="1285" width="6.5703125" style="1" customWidth="1"/>
    <col min="1286" max="1286" width="13.42578125" style="1" customWidth="1"/>
    <col min="1287" max="1287" width="0" style="1" hidden="1" customWidth="1"/>
    <col min="1288" max="1288" width="11.5703125" style="1" customWidth="1"/>
    <col min="1289" max="1289" width="11.28515625" style="1" customWidth="1"/>
    <col min="1290" max="1290" width="11.140625" style="1" customWidth="1"/>
    <col min="1291" max="1296" width="11.28515625" style="1" customWidth="1"/>
    <col min="1297" max="1297" width="10.85546875" style="1" customWidth="1"/>
    <col min="1298" max="1298" width="11.28515625" style="1" customWidth="1"/>
    <col min="1299" max="1299" width="13" style="1" customWidth="1"/>
    <col min="1300" max="1536" width="9.140625" style="1"/>
    <col min="1537" max="1537" width="6.7109375" style="1" customWidth="1"/>
    <col min="1538" max="1538" width="25.140625" style="1" customWidth="1"/>
    <col min="1539" max="1539" width="16.42578125" style="1" customWidth="1"/>
    <col min="1540" max="1541" width="6.5703125" style="1" customWidth="1"/>
    <col min="1542" max="1542" width="13.42578125" style="1" customWidth="1"/>
    <col min="1543" max="1543" width="0" style="1" hidden="1" customWidth="1"/>
    <col min="1544" max="1544" width="11.5703125" style="1" customWidth="1"/>
    <col min="1545" max="1545" width="11.28515625" style="1" customWidth="1"/>
    <col min="1546" max="1546" width="11.140625" style="1" customWidth="1"/>
    <col min="1547" max="1552" width="11.28515625" style="1" customWidth="1"/>
    <col min="1553" max="1553" width="10.85546875" style="1" customWidth="1"/>
    <col min="1554" max="1554" width="11.28515625" style="1" customWidth="1"/>
    <col min="1555" max="1555" width="13" style="1" customWidth="1"/>
    <col min="1556" max="1792" width="9.140625" style="1"/>
    <col min="1793" max="1793" width="6.7109375" style="1" customWidth="1"/>
    <col min="1794" max="1794" width="25.140625" style="1" customWidth="1"/>
    <col min="1795" max="1795" width="16.42578125" style="1" customWidth="1"/>
    <col min="1796" max="1797" width="6.5703125" style="1" customWidth="1"/>
    <col min="1798" max="1798" width="13.42578125" style="1" customWidth="1"/>
    <col min="1799" max="1799" width="0" style="1" hidden="1" customWidth="1"/>
    <col min="1800" max="1800" width="11.5703125" style="1" customWidth="1"/>
    <col min="1801" max="1801" width="11.28515625" style="1" customWidth="1"/>
    <col min="1802" max="1802" width="11.140625" style="1" customWidth="1"/>
    <col min="1803" max="1808" width="11.28515625" style="1" customWidth="1"/>
    <col min="1809" max="1809" width="10.85546875" style="1" customWidth="1"/>
    <col min="1810" max="1810" width="11.28515625" style="1" customWidth="1"/>
    <col min="1811" max="1811" width="13" style="1" customWidth="1"/>
    <col min="1812" max="2048" width="9.140625" style="1"/>
    <col min="2049" max="2049" width="6.7109375" style="1" customWidth="1"/>
    <col min="2050" max="2050" width="25.140625" style="1" customWidth="1"/>
    <col min="2051" max="2051" width="16.42578125" style="1" customWidth="1"/>
    <col min="2052" max="2053" width="6.5703125" style="1" customWidth="1"/>
    <col min="2054" max="2054" width="13.42578125" style="1" customWidth="1"/>
    <col min="2055" max="2055" width="0" style="1" hidden="1" customWidth="1"/>
    <col min="2056" max="2056" width="11.5703125" style="1" customWidth="1"/>
    <col min="2057" max="2057" width="11.28515625" style="1" customWidth="1"/>
    <col min="2058" max="2058" width="11.140625" style="1" customWidth="1"/>
    <col min="2059" max="2064" width="11.28515625" style="1" customWidth="1"/>
    <col min="2065" max="2065" width="10.85546875" style="1" customWidth="1"/>
    <col min="2066" max="2066" width="11.28515625" style="1" customWidth="1"/>
    <col min="2067" max="2067" width="13" style="1" customWidth="1"/>
    <col min="2068" max="2304" width="9.140625" style="1"/>
    <col min="2305" max="2305" width="6.7109375" style="1" customWidth="1"/>
    <col min="2306" max="2306" width="25.140625" style="1" customWidth="1"/>
    <col min="2307" max="2307" width="16.42578125" style="1" customWidth="1"/>
    <col min="2308" max="2309" width="6.5703125" style="1" customWidth="1"/>
    <col min="2310" max="2310" width="13.42578125" style="1" customWidth="1"/>
    <col min="2311" max="2311" width="0" style="1" hidden="1" customWidth="1"/>
    <col min="2312" max="2312" width="11.5703125" style="1" customWidth="1"/>
    <col min="2313" max="2313" width="11.28515625" style="1" customWidth="1"/>
    <col min="2314" max="2314" width="11.140625" style="1" customWidth="1"/>
    <col min="2315" max="2320" width="11.28515625" style="1" customWidth="1"/>
    <col min="2321" max="2321" width="10.85546875" style="1" customWidth="1"/>
    <col min="2322" max="2322" width="11.28515625" style="1" customWidth="1"/>
    <col min="2323" max="2323" width="13" style="1" customWidth="1"/>
    <col min="2324" max="2560" width="9.140625" style="1"/>
    <col min="2561" max="2561" width="6.7109375" style="1" customWidth="1"/>
    <col min="2562" max="2562" width="25.140625" style="1" customWidth="1"/>
    <col min="2563" max="2563" width="16.42578125" style="1" customWidth="1"/>
    <col min="2564" max="2565" width="6.5703125" style="1" customWidth="1"/>
    <col min="2566" max="2566" width="13.42578125" style="1" customWidth="1"/>
    <col min="2567" max="2567" width="0" style="1" hidden="1" customWidth="1"/>
    <col min="2568" max="2568" width="11.5703125" style="1" customWidth="1"/>
    <col min="2569" max="2569" width="11.28515625" style="1" customWidth="1"/>
    <col min="2570" max="2570" width="11.140625" style="1" customWidth="1"/>
    <col min="2571" max="2576" width="11.28515625" style="1" customWidth="1"/>
    <col min="2577" max="2577" width="10.85546875" style="1" customWidth="1"/>
    <col min="2578" max="2578" width="11.28515625" style="1" customWidth="1"/>
    <col min="2579" max="2579" width="13" style="1" customWidth="1"/>
    <col min="2580" max="2816" width="9.140625" style="1"/>
    <col min="2817" max="2817" width="6.7109375" style="1" customWidth="1"/>
    <col min="2818" max="2818" width="25.140625" style="1" customWidth="1"/>
    <col min="2819" max="2819" width="16.42578125" style="1" customWidth="1"/>
    <col min="2820" max="2821" width="6.5703125" style="1" customWidth="1"/>
    <col min="2822" max="2822" width="13.42578125" style="1" customWidth="1"/>
    <col min="2823" max="2823" width="0" style="1" hidden="1" customWidth="1"/>
    <col min="2824" max="2824" width="11.5703125" style="1" customWidth="1"/>
    <col min="2825" max="2825" width="11.28515625" style="1" customWidth="1"/>
    <col min="2826" max="2826" width="11.140625" style="1" customWidth="1"/>
    <col min="2827" max="2832" width="11.28515625" style="1" customWidth="1"/>
    <col min="2833" max="2833" width="10.85546875" style="1" customWidth="1"/>
    <col min="2834" max="2834" width="11.28515625" style="1" customWidth="1"/>
    <col min="2835" max="2835" width="13" style="1" customWidth="1"/>
    <col min="2836" max="3072" width="9.140625" style="1"/>
    <col min="3073" max="3073" width="6.7109375" style="1" customWidth="1"/>
    <col min="3074" max="3074" width="25.140625" style="1" customWidth="1"/>
    <col min="3075" max="3075" width="16.42578125" style="1" customWidth="1"/>
    <col min="3076" max="3077" width="6.5703125" style="1" customWidth="1"/>
    <col min="3078" max="3078" width="13.42578125" style="1" customWidth="1"/>
    <col min="3079" max="3079" width="0" style="1" hidden="1" customWidth="1"/>
    <col min="3080" max="3080" width="11.5703125" style="1" customWidth="1"/>
    <col min="3081" max="3081" width="11.28515625" style="1" customWidth="1"/>
    <col min="3082" max="3082" width="11.140625" style="1" customWidth="1"/>
    <col min="3083" max="3088" width="11.28515625" style="1" customWidth="1"/>
    <col min="3089" max="3089" width="10.85546875" style="1" customWidth="1"/>
    <col min="3090" max="3090" width="11.28515625" style="1" customWidth="1"/>
    <col min="3091" max="3091" width="13" style="1" customWidth="1"/>
    <col min="3092" max="3328" width="9.140625" style="1"/>
    <col min="3329" max="3329" width="6.7109375" style="1" customWidth="1"/>
    <col min="3330" max="3330" width="25.140625" style="1" customWidth="1"/>
    <col min="3331" max="3331" width="16.42578125" style="1" customWidth="1"/>
    <col min="3332" max="3333" width="6.5703125" style="1" customWidth="1"/>
    <col min="3334" max="3334" width="13.42578125" style="1" customWidth="1"/>
    <col min="3335" max="3335" width="0" style="1" hidden="1" customWidth="1"/>
    <col min="3336" max="3336" width="11.5703125" style="1" customWidth="1"/>
    <col min="3337" max="3337" width="11.28515625" style="1" customWidth="1"/>
    <col min="3338" max="3338" width="11.140625" style="1" customWidth="1"/>
    <col min="3339" max="3344" width="11.28515625" style="1" customWidth="1"/>
    <col min="3345" max="3345" width="10.85546875" style="1" customWidth="1"/>
    <col min="3346" max="3346" width="11.28515625" style="1" customWidth="1"/>
    <col min="3347" max="3347" width="13" style="1" customWidth="1"/>
    <col min="3348" max="3584" width="9.140625" style="1"/>
    <col min="3585" max="3585" width="6.7109375" style="1" customWidth="1"/>
    <col min="3586" max="3586" width="25.140625" style="1" customWidth="1"/>
    <col min="3587" max="3587" width="16.42578125" style="1" customWidth="1"/>
    <col min="3588" max="3589" width="6.5703125" style="1" customWidth="1"/>
    <col min="3590" max="3590" width="13.42578125" style="1" customWidth="1"/>
    <col min="3591" max="3591" width="0" style="1" hidden="1" customWidth="1"/>
    <col min="3592" max="3592" width="11.5703125" style="1" customWidth="1"/>
    <col min="3593" max="3593" width="11.28515625" style="1" customWidth="1"/>
    <col min="3594" max="3594" width="11.140625" style="1" customWidth="1"/>
    <col min="3595" max="3600" width="11.28515625" style="1" customWidth="1"/>
    <col min="3601" max="3601" width="10.85546875" style="1" customWidth="1"/>
    <col min="3602" max="3602" width="11.28515625" style="1" customWidth="1"/>
    <col min="3603" max="3603" width="13" style="1" customWidth="1"/>
    <col min="3604" max="3840" width="9.140625" style="1"/>
    <col min="3841" max="3841" width="6.7109375" style="1" customWidth="1"/>
    <col min="3842" max="3842" width="25.140625" style="1" customWidth="1"/>
    <col min="3843" max="3843" width="16.42578125" style="1" customWidth="1"/>
    <col min="3844" max="3845" width="6.5703125" style="1" customWidth="1"/>
    <col min="3846" max="3846" width="13.42578125" style="1" customWidth="1"/>
    <col min="3847" max="3847" width="0" style="1" hidden="1" customWidth="1"/>
    <col min="3848" max="3848" width="11.5703125" style="1" customWidth="1"/>
    <col min="3849" max="3849" width="11.28515625" style="1" customWidth="1"/>
    <col min="3850" max="3850" width="11.140625" style="1" customWidth="1"/>
    <col min="3851" max="3856" width="11.28515625" style="1" customWidth="1"/>
    <col min="3857" max="3857" width="10.85546875" style="1" customWidth="1"/>
    <col min="3858" max="3858" width="11.28515625" style="1" customWidth="1"/>
    <col min="3859" max="3859" width="13" style="1" customWidth="1"/>
    <col min="3860" max="4096" width="9.140625" style="1"/>
    <col min="4097" max="4097" width="6.7109375" style="1" customWidth="1"/>
    <col min="4098" max="4098" width="25.140625" style="1" customWidth="1"/>
    <col min="4099" max="4099" width="16.42578125" style="1" customWidth="1"/>
    <col min="4100" max="4101" width="6.5703125" style="1" customWidth="1"/>
    <col min="4102" max="4102" width="13.42578125" style="1" customWidth="1"/>
    <col min="4103" max="4103" width="0" style="1" hidden="1" customWidth="1"/>
    <col min="4104" max="4104" width="11.5703125" style="1" customWidth="1"/>
    <col min="4105" max="4105" width="11.28515625" style="1" customWidth="1"/>
    <col min="4106" max="4106" width="11.140625" style="1" customWidth="1"/>
    <col min="4107" max="4112" width="11.28515625" style="1" customWidth="1"/>
    <col min="4113" max="4113" width="10.85546875" style="1" customWidth="1"/>
    <col min="4114" max="4114" width="11.28515625" style="1" customWidth="1"/>
    <col min="4115" max="4115" width="13" style="1" customWidth="1"/>
    <col min="4116" max="4352" width="9.140625" style="1"/>
    <col min="4353" max="4353" width="6.7109375" style="1" customWidth="1"/>
    <col min="4354" max="4354" width="25.140625" style="1" customWidth="1"/>
    <col min="4355" max="4355" width="16.42578125" style="1" customWidth="1"/>
    <col min="4356" max="4357" width="6.5703125" style="1" customWidth="1"/>
    <col min="4358" max="4358" width="13.42578125" style="1" customWidth="1"/>
    <col min="4359" max="4359" width="0" style="1" hidden="1" customWidth="1"/>
    <col min="4360" max="4360" width="11.5703125" style="1" customWidth="1"/>
    <col min="4361" max="4361" width="11.28515625" style="1" customWidth="1"/>
    <col min="4362" max="4362" width="11.140625" style="1" customWidth="1"/>
    <col min="4363" max="4368" width="11.28515625" style="1" customWidth="1"/>
    <col min="4369" max="4369" width="10.85546875" style="1" customWidth="1"/>
    <col min="4370" max="4370" width="11.28515625" style="1" customWidth="1"/>
    <col min="4371" max="4371" width="13" style="1" customWidth="1"/>
    <col min="4372" max="4608" width="9.140625" style="1"/>
    <col min="4609" max="4609" width="6.7109375" style="1" customWidth="1"/>
    <col min="4610" max="4610" width="25.140625" style="1" customWidth="1"/>
    <col min="4611" max="4611" width="16.42578125" style="1" customWidth="1"/>
    <col min="4612" max="4613" width="6.5703125" style="1" customWidth="1"/>
    <col min="4614" max="4614" width="13.42578125" style="1" customWidth="1"/>
    <col min="4615" max="4615" width="0" style="1" hidden="1" customWidth="1"/>
    <col min="4616" max="4616" width="11.5703125" style="1" customWidth="1"/>
    <col min="4617" max="4617" width="11.28515625" style="1" customWidth="1"/>
    <col min="4618" max="4618" width="11.140625" style="1" customWidth="1"/>
    <col min="4619" max="4624" width="11.28515625" style="1" customWidth="1"/>
    <col min="4625" max="4625" width="10.85546875" style="1" customWidth="1"/>
    <col min="4626" max="4626" width="11.28515625" style="1" customWidth="1"/>
    <col min="4627" max="4627" width="13" style="1" customWidth="1"/>
    <col min="4628" max="4864" width="9.140625" style="1"/>
    <col min="4865" max="4865" width="6.7109375" style="1" customWidth="1"/>
    <col min="4866" max="4866" width="25.140625" style="1" customWidth="1"/>
    <col min="4867" max="4867" width="16.42578125" style="1" customWidth="1"/>
    <col min="4868" max="4869" width="6.5703125" style="1" customWidth="1"/>
    <col min="4870" max="4870" width="13.42578125" style="1" customWidth="1"/>
    <col min="4871" max="4871" width="0" style="1" hidden="1" customWidth="1"/>
    <col min="4872" max="4872" width="11.5703125" style="1" customWidth="1"/>
    <col min="4873" max="4873" width="11.28515625" style="1" customWidth="1"/>
    <col min="4874" max="4874" width="11.140625" style="1" customWidth="1"/>
    <col min="4875" max="4880" width="11.28515625" style="1" customWidth="1"/>
    <col min="4881" max="4881" width="10.85546875" style="1" customWidth="1"/>
    <col min="4882" max="4882" width="11.28515625" style="1" customWidth="1"/>
    <col min="4883" max="4883" width="13" style="1" customWidth="1"/>
    <col min="4884" max="5120" width="9.140625" style="1"/>
    <col min="5121" max="5121" width="6.7109375" style="1" customWidth="1"/>
    <col min="5122" max="5122" width="25.140625" style="1" customWidth="1"/>
    <col min="5123" max="5123" width="16.42578125" style="1" customWidth="1"/>
    <col min="5124" max="5125" width="6.5703125" style="1" customWidth="1"/>
    <col min="5126" max="5126" width="13.42578125" style="1" customWidth="1"/>
    <col min="5127" max="5127" width="0" style="1" hidden="1" customWidth="1"/>
    <col min="5128" max="5128" width="11.5703125" style="1" customWidth="1"/>
    <col min="5129" max="5129" width="11.28515625" style="1" customWidth="1"/>
    <col min="5130" max="5130" width="11.140625" style="1" customWidth="1"/>
    <col min="5131" max="5136" width="11.28515625" style="1" customWidth="1"/>
    <col min="5137" max="5137" width="10.85546875" style="1" customWidth="1"/>
    <col min="5138" max="5138" width="11.28515625" style="1" customWidth="1"/>
    <col min="5139" max="5139" width="13" style="1" customWidth="1"/>
    <col min="5140" max="5376" width="9.140625" style="1"/>
    <col min="5377" max="5377" width="6.7109375" style="1" customWidth="1"/>
    <col min="5378" max="5378" width="25.140625" style="1" customWidth="1"/>
    <col min="5379" max="5379" width="16.42578125" style="1" customWidth="1"/>
    <col min="5380" max="5381" width="6.5703125" style="1" customWidth="1"/>
    <col min="5382" max="5382" width="13.42578125" style="1" customWidth="1"/>
    <col min="5383" max="5383" width="0" style="1" hidden="1" customWidth="1"/>
    <col min="5384" max="5384" width="11.5703125" style="1" customWidth="1"/>
    <col min="5385" max="5385" width="11.28515625" style="1" customWidth="1"/>
    <col min="5386" max="5386" width="11.140625" style="1" customWidth="1"/>
    <col min="5387" max="5392" width="11.28515625" style="1" customWidth="1"/>
    <col min="5393" max="5393" width="10.85546875" style="1" customWidth="1"/>
    <col min="5394" max="5394" width="11.28515625" style="1" customWidth="1"/>
    <col min="5395" max="5395" width="13" style="1" customWidth="1"/>
    <col min="5396" max="5632" width="9.140625" style="1"/>
    <col min="5633" max="5633" width="6.7109375" style="1" customWidth="1"/>
    <col min="5634" max="5634" width="25.140625" style="1" customWidth="1"/>
    <col min="5635" max="5635" width="16.42578125" style="1" customWidth="1"/>
    <col min="5636" max="5637" width="6.5703125" style="1" customWidth="1"/>
    <col min="5638" max="5638" width="13.42578125" style="1" customWidth="1"/>
    <col min="5639" max="5639" width="0" style="1" hidden="1" customWidth="1"/>
    <col min="5640" max="5640" width="11.5703125" style="1" customWidth="1"/>
    <col min="5641" max="5641" width="11.28515625" style="1" customWidth="1"/>
    <col min="5642" max="5642" width="11.140625" style="1" customWidth="1"/>
    <col min="5643" max="5648" width="11.28515625" style="1" customWidth="1"/>
    <col min="5649" max="5649" width="10.85546875" style="1" customWidth="1"/>
    <col min="5650" max="5650" width="11.28515625" style="1" customWidth="1"/>
    <col min="5651" max="5651" width="13" style="1" customWidth="1"/>
    <col min="5652" max="5888" width="9.140625" style="1"/>
    <col min="5889" max="5889" width="6.7109375" style="1" customWidth="1"/>
    <col min="5890" max="5890" width="25.140625" style="1" customWidth="1"/>
    <col min="5891" max="5891" width="16.42578125" style="1" customWidth="1"/>
    <col min="5892" max="5893" width="6.5703125" style="1" customWidth="1"/>
    <col min="5894" max="5894" width="13.42578125" style="1" customWidth="1"/>
    <col min="5895" max="5895" width="0" style="1" hidden="1" customWidth="1"/>
    <col min="5896" max="5896" width="11.5703125" style="1" customWidth="1"/>
    <col min="5897" max="5897" width="11.28515625" style="1" customWidth="1"/>
    <col min="5898" max="5898" width="11.140625" style="1" customWidth="1"/>
    <col min="5899" max="5904" width="11.28515625" style="1" customWidth="1"/>
    <col min="5905" max="5905" width="10.85546875" style="1" customWidth="1"/>
    <col min="5906" max="5906" width="11.28515625" style="1" customWidth="1"/>
    <col min="5907" max="5907" width="13" style="1" customWidth="1"/>
    <col min="5908" max="6144" width="9.140625" style="1"/>
    <col min="6145" max="6145" width="6.7109375" style="1" customWidth="1"/>
    <col min="6146" max="6146" width="25.140625" style="1" customWidth="1"/>
    <col min="6147" max="6147" width="16.42578125" style="1" customWidth="1"/>
    <col min="6148" max="6149" width="6.5703125" style="1" customWidth="1"/>
    <col min="6150" max="6150" width="13.42578125" style="1" customWidth="1"/>
    <col min="6151" max="6151" width="0" style="1" hidden="1" customWidth="1"/>
    <col min="6152" max="6152" width="11.5703125" style="1" customWidth="1"/>
    <col min="6153" max="6153" width="11.28515625" style="1" customWidth="1"/>
    <col min="6154" max="6154" width="11.140625" style="1" customWidth="1"/>
    <col min="6155" max="6160" width="11.28515625" style="1" customWidth="1"/>
    <col min="6161" max="6161" width="10.85546875" style="1" customWidth="1"/>
    <col min="6162" max="6162" width="11.28515625" style="1" customWidth="1"/>
    <col min="6163" max="6163" width="13" style="1" customWidth="1"/>
    <col min="6164" max="6400" width="9.140625" style="1"/>
    <col min="6401" max="6401" width="6.7109375" style="1" customWidth="1"/>
    <col min="6402" max="6402" width="25.140625" style="1" customWidth="1"/>
    <col min="6403" max="6403" width="16.42578125" style="1" customWidth="1"/>
    <col min="6404" max="6405" width="6.5703125" style="1" customWidth="1"/>
    <col min="6406" max="6406" width="13.42578125" style="1" customWidth="1"/>
    <col min="6407" max="6407" width="0" style="1" hidden="1" customWidth="1"/>
    <col min="6408" max="6408" width="11.5703125" style="1" customWidth="1"/>
    <col min="6409" max="6409" width="11.28515625" style="1" customWidth="1"/>
    <col min="6410" max="6410" width="11.140625" style="1" customWidth="1"/>
    <col min="6411" max="6416" width="11.28515625" style="1" customWidth="1"/>
    <col min="6417" max="6417" width="10.85546875" style="1" customWidth="1"/>
    <col min="6418" max="6418" width="11.28515625" style="1" customWidth="1"/>
    <col min="6419" max="6419" width="13" style="1" customWidth="1"/>
    <col min="6420" max="6656" width="9.140625" style="1"/>
    <col min="6657" max="6657" width="6.7109375" style="1" customWidth="1"/>
    <col min="6658" max="6658" width="25.140625" style="1" customWidth="1"/>
    <col min="6659" max="6659" width="16.42578125" style="1" customWidth="1"/>
    <col min="6660" max="6661" width="6.5703125" style="1" customWidth="1"/>
    <col min="6662" max="6662" width="13.42578125" style="1" customWidth="1"/>
    <col min="6663" max="6663" width="0" style="1" hidden="1" customWidth="1"/>
    <col min="6664" max="6664" width="11.5703125" style="1" customWidth="1"/>
    <col min="6665" max="6665" width="11.28515625" style="1" customWidth="1"/>
    <col min="6666" max="6666" width="11.140625" style="1" customWidth="1"/>
    <col min="6667" max="6672" width="11.28515625" style="1" customWidth="1"/>
    <col min="6673" max="6673" width="10.85546875" style="1" customWidth="1"/>
    <col min="6674" max="6674" width="11.28515625" style="1" customWidth="1"/>
    <col min="6675" max="6675" width="13" style="1" customWidth="1"/>
    <col min="6676" max="6912" width="9.140625" style="1"/>
    <col min="6913" max="6913" width="6.7109375" style="1" customWidth="1"/>
    <col min="6914" max="6914" width="25.140625" style="1" customWidth="1"/>
    <col min="6915" max="6915" width="16.42578125" style="1" customWidth="1"/>
    <col min="6916" max="6917" width="6.5703125" style="1" customWidth="1"/>
    <col min="6918" max="6918" width="13.42578125" style="1" customWidth="1"/>
    <col min="6919" max="6919" width="0" style="1" hidden="1" customWidth="1"/>
    <col min="6920" max="6920" width="11.5703125" style="1" customWidth="1"/>
    <col min="6921" max="6921" width="11.28515625" style="1" customWidth="1"/>
    <col min="6922" max="6922" width="11.140625" style="1" customWidth="1"/>
    <col min="6923" max="6928" width="11.28515625" style="1" customWidth="1"/>
    <col min="6929" max="6929" width="10.85546875" style="1" customWidth="1"/>
    <col min="6930" max="6930" width="11.28515625" style="1" customWidth="1"/>
    <col min="6931" max="6931" width="13" style="1" customWidth="1"/>
    <col min="6932" max="7168" width="9.140625" style="1"/>
    <col min="7169" max="7169" width="6.7109375" style="1" customWidth="1"/>
    <col min="7170" max="7170" width="25.140625" style="1" customWidth="1"/>
    <col min="7171" max="7171" width="16.42578125" style="1" customWidth="1"/>
    <col min="7172" max="7173" width="6.5703125" style="1" customWidth="1"/>
    <col min="7174" max="7174" width="13.42578125" style="1" customWidth="1"/>
    <col min="7175" max="7175" width="0" style="1" hidden="1" customWidth="1"/>
    <col min="7176" max="7176" width="11.5703125" style="1" customWidth="1"/>
    <col min="7177" max="7177" width="11.28515625" style="1" customWidth="1"/>
    <col min="7178" max="7178" width="11.140625" style="1" customWidth="1"/>
    <col min="7179" max="7184" width="11.28515625" style="1" customWidth="1"/>
    <col min="7185" max="7185" width="10.85546875" style="1" customWidth="1"/>
    <col min="7186" max="7186" width="11.28515625" style="1" customWidth="1"/>
    <col min="7187" max="7187" width="13" style="1" customWidth="1"/>
    <col min="7188" max="7424" width="9.140625" style="1"/>
    <col min="7425" max="7425" width="6.7109375" style="1" customWidth="1"/>
    <col min="7426" max="7426" width="25.140625" style="1" customWidth="1"/>
    <col min="7427" max="7427" width="16.42578125" style="1" customWidth="1"/>
    <col min="7428" max="7429" width="6.5703125" style="1" customWidth="1"/>
    <col min="7430" max="7430" width="13.42578125" style="1" customWidth="1"/>
    <col min="7431" max="7431" width="0" style="1" hidden="1" customWidth="1"/>
    <col min="7432" max="7432" width="11.5703125" style="1" customWidth="1"/>
    <col min="7433" max="7433" width="11.28515625" style="1" customWidth="1"/>
    <col min="7434" max="7434" width="11.140625" style="1" customWidth="1"/>
    <col min="7435" max="7440" width="11.28515625" style="1" customWidth="1"/>
    <col min="7441" max="7441" width="10.85546875" style="1" customWidth="1"/>
    <col min="7442" max="7442" width="11.28515625" style="1" customWidth="1"/>
    <col min="7443" max="7443" width="13" style="1" customWidth="1"/>
    <col min="7444" max="7680" width="9.140625" style="1"/>
    <col min="7681" max="7681" width="6.7109375" style="1" customWidth="1"/>
    <col min="7682" max="7682" width="25.140625" style="1" customWidth="1"/>
    <col min="7683" max="7683" width="16.42578125" style="1" customWidth="1"/>
    <col min="7684" max="7685" width="6.5703125" style="1" customWidth="1"/>
    <col min="7686" max="7686" width="13.42578125" style="1" customWidth="1"/>
    <col min="7687" max="7687" width="0" style="1" hidden="1" customWidth="1"/>
    <col min="7688" max="7688" width="11.5703125" style="1" customWidth="1"/>
    <col min="7689" max="7689" width="11.28515625" style="1" customWidth="1"/>
    <col min="7690" max="7690" width="11.140625" style="1" customWidth="1"/>
    <col min="7691" max="7696" width="11.28515625" style="1" customWidth="1"/>
    <col min="7697" max="7697" width="10.85546875" style="1" customWidth="1"/>
    <col min="7698" max="7698" width="11.28515625" style="1" customWidth="1"/>
    <col min="7699" max="7699" width="13" style="1" customWidth="1"/>
    <col min="7700" max="7936" width="9.140625" style="1"/>
    <col min="7937" max="7937" width="6.7109375" style="1" customWidth="1"/>
    <col min="7938" max="7938" width="25.140625" style="1" customWidth="1"/>
    <col min="7939" max="7939" width="16.42578125" style="1" customWidth="1"/>
    <col min="7940" max="7941" width="6.5703125" style="1" customWidth="1"/>
    <col min="7942" max="7942" width="13.42578125" style="1" customWidth="1"/>
    <col min="7943" max="7943" width="0" style="1" hidden="1" customWidth="1"/>
    <col min="7944" max="7944" width="11.5703125" style="1" customWidth="1"/>
    <col min="7945" max="7945" width="11.28515625" style="1" customWidth="1"/>
    <col min="7946" max="7946" width="11.140625" style="1" customWidth="1"/>
    <col min="7947" max="7952" width="11.28515625" style="1" customWidth="1"/>
    <col min="7953" max="7953" width="10.85546875" style="1" customWidth="1"/>
    <col min="7954" max="7954" width="11.28515625" style="1" customWidth="1"/>
    <col min="7955" max="7955" width="13" style="1" customWidth="1"/>
    <col min="7956" max="8192" width="9.140625" style="1"/>
    <col min="8193" max="8193" width="6.7109375" style="1" customWidth="1"/>
    <col min="8194" max="8194" width="25.140625" style="1" customWidth="1"/>
    <col min="8195" max="8195" width="16.42578125" style="1" customWidth="1"/>
    <col min="8196" max="8197" width="6.5703125" style="1" customWidth="1"/>
    <col min="8198" max="8198" width="13.42578125" style="1" customWidth="1"/>
    <col min="8199" max="8199" width="0" style="1" hidden="1" customWidth="1"/>
    <col min="8200" max="8200" width="11.5703125" style="1" customWidth="1"/>
    <col min="8201" max="8201" width="11.28515625" style="1" customWidth="1"/>
    <col min="8202" max="8202" width="11.140625" style="1" customWidth="1"/>
    <col min="8203" max="8208" width="11.28515625" style="1" customWidth="1"/>
    <col min="8209" max="8209" width="10.85546875" style="1" customWidth="1"/>
    <col min="8210" max="8210" width="11.28515625" style="1" customWidth="1"/>
    <col min="8211" max="8211" width="13" style="1" customWidth="1"/>
    <col min="8212" max="8448" width="9.140625" style="1"/>
    <col min="8449" max="8449" width="6.7109375" style="1" customWidth="1"/>
    <col min="8450" max="8450" width="25.140625" style="1" customWidth="1"/>
    <col min="8451" max="8451" width="16.42578125" style="1" customWidth="1"/>
    <col min="8452" max="8453" width="6.5703125" style="1" customWidth="1"/>
    <col min="8454" max="8454" width="13.42578125" style="1" customWidth="1"/>
    <col min="8455" max="8455" width="0" style="1" hidden="1" customWidth="1"/>
    <col min="8456" max="8456" width="11.5703125" style="1" customWidth="1"/>
    <col min="8457" max="8457" width="11.28515625" style="1" customWidth="1"/>
    <col min="8458" max="8458" width="11.140625" style="1" customWidth="1"/>
    <col min="8459" max="8464" width="11.28515625" style="1" customWidth="1"/>
    <col min="8465" max="8465" width="10.85546875" style="1" customWidth="1"/>
    <col min="8466" max="8466" width="11.28515625" style="1" customWidth="1"/>
    <col min="8467" max="8467" width="13" style="1" customWidth="1"/>
    <col min="8468" max="8704" width="9.140625" style="1"/>
    <col min="8705" max="8705" width="6.7109375" style="1" customWidth="1"/>
    <col min="8706" max="8706" width="25.140625" style="1" customWidth="1"/>
    <col min="8707" max="8707" width="16.42578125" style="1" customWidth="1"/>
    <col min="8708" max="8709" width="6.5703125" style="1" customWidth="1"/>
    <col min="8710" max="8710" width="13.42578125" style="1" customWidth="1"/>
    <col min="8711" max="8711" width="0" style="1" hidden="1" customWidth="1"/>
    <col min="8712" max="8712" width="11.5703125" style="1" customWidth="1"/>
    <col min="8713" max="8713" width="11.28515625" style="1" customWidth="1"/>
    <col min="8714" max="8714" width="11.140625" style="1" customWidth="1"/>
    <col min="8715" max="8720" width="11.28515625" style="1" customWidth="1"/>
    <col min="8721" max="8721" width="10.85546875" style="1" customWidth="1"/>
    <col min="8722" max="8722" width="11.28515625" style="1" customWidth="1"/>
    <col min="8723" max="8723" width="13" style="1" customWidth="1"/>
    <col min="8724" max="8960" width="9.140625" style="1"/>
    <col min="8961" max="8961" width="6.7109375" style="1" customWidth="1"/>
    <col min="8962" max="8962" width="25.140625" style="1" customWidth="1"/>
    <col min="8963" max="8963" width="16.42578125" style="1" customWidth="1"/>
    <col min="8964" max="8965" width="6.5703125" style="1" customWidth="1"/>
    <col min="8966" max="8966" width="13.42578125" style="1" customWidth="1"/>
    <col min="8967" max="8967" width="0" style="1" hidden="1" customWidth="1"/>
    <col min="8968" max="8968" width="11.5703125" style="1" customWidth="1"/>
    <col min="8969" max="8969" width="11.28515625" style="1" customWidth="1"/>
    <col min="8970" max="8970" width="11.140625" style="1" customWidth="1"/>
    <col min="8971" max="8976" width="11.28515625" style="1" customWidth="1"/>
    <col min="8977" max="8977" width="10.85546875" style="1" customWidth="1"/>
    <col min="8978" max="8978" width="11.28515625" style="1" customWidth="1"/>
    <col min="8979" max="8979" width="13" style="1" customWidth="1"/>
    <col min="8980" max="9216" width="9.140625" style="1"/>
    <col min="9217" max="9217" width="6.7109375" style="1" customWidth="1"/>
    <col min="9218" max="9218" width="25.140625" style="1" customWidth="1"/>
    <col min="9219" max="9219" width="16.42578125" style="1" customWidth="1"/>
    <col min="9220" max="9221" width="6.5703125" style="1" customWidth="1"/>
    <col min="9222" max="9222" width="13.42578125" style="1" customWidth="1"/>
    <col min="9223" max="9223" width="0" style="1" hidden="1" customWidth="1"/>
    <col min="9224" max="9224" width="11.5703125" style="1" customWidth="1"/>
    <col min="9225" max="9225" width="11.28515625" style="1" customWidth="1"/>
    <col min="9226" max="9226" width="11.140625" style="1" customWidth="1"/>
    <col min="9227" max="9232" width="11.28515625" style="1" customWidth="1"/>
    <col min="9233" max="9233" width="10.85546875" style="1" customWidth="1"/>
    <col min="9234" max="9234" width="11.28515625" style="1" customWidth="1"/>
    <col min="9235" max="9235" width="13" style="1" customWidth="1"/>
    <col min="9236" max="9472" width="9.140625" style="1"/>
    <col min="9473" max="9473" width="6.7109375" style="1" customWidth="1"/>
    <col min="9474" max="9474" width="25.140625" style="1" customWidth="1"/>
    <col min="9475" max="9475" width="16.42578125" style="1" customWidth="1"/>
    <col min="9476" max="9477" width="6.5703125" style="1" customWidth="1"/>
    <col min="9478" max="9478" width="13.42578125" style="1" customWidth="1"/>
    <col min="9479" max="9479" width="0" style="1" hidden="1" customWidth="1"/>
    <col min="9480" max="9480" width="11.5703125" style="1" customWidth="1"/>
    <col min="9481" max="9481" width="11.28515625" style="1" customWidth="1"/>
    <col min="9482" max="9482" width="11.140625" style="1" customWidth="1"/>
    <col min="9483" max="9488" width="11.28515625" style="1" customWidth="1"/>
    <col min="9489" max="9489" width="10.85546875" style="1" customWidth="1"/>
    <col min="9490" max="9490" width="11.28515625" style="1" customWidth="1"/>
    <col min="9491" max="9491" width="13" style="1" customWidth="1"/>
    <col min="9492" max="9728" width="9.140625" style="1"/>
    <col min="9729" max="9729" width="6.7109375" style="1" customWidth="1"/>
    <col min="9730" max="9730" width="25.140625" style="1" customWidth="1"/>
    <col min="9731" max="9731" width="16.42578125" style="1" customWidth="1"/>
    <col min="9732" max="9733" width="6.5703125" style="1" customWidth="1"/>
    <col min="9734" max="9734" width="13.42578125" style="1" customWidth="1"/>
    <col min="9735" max="9735" width="0" style="1" hidden="1" customWidth="1"/>
    <col min="9736" max="9736" width="11.5703125" style="1" customWidth="1"/>
    <col min="9737" max="9737" width="11.28515625" style="1" customWidth="1"/>
    <col min="9738" max="9738" width="11.140625" style="1" customWidth="1"/>
    <col min="9739" max="9744" width="11.28515625" style="1" customWidth="1"/>
    <col min="9745" max="9745" width="10.85546875" style="1" customWidth="1"/>
    <col min="9746" max="9746" width="11.28515625" style="1" customWidth="1"/>
    <col min="9747" max="9747" width="13" style="1" customWidth="1"/>
    <col min="9748" max="9984" width="9.140625" style="1"/>
    <col min="9985" max="9985" width="6.7109375" style="1" customWidth="1"/>
    <col min="9986" max="9986" width="25.140625" style="1" customWidth="1"/>
    <col min="9987" max="9987" width="16.42578125" style="1" customWidth="1"/>
    <col min="9988" max="9989" width="6.5703125" style="1" customWidth="1"/>
    <col min="9990" max="9990" width="13.42578125" style="1" customWidth="1"/>
    <col min="9991" max="9991" width="0" style="1" hidden="1" customWidth="1"/>
    <col min="9992" max="9992" width="11.5703125" style="1" customWidth="1"/>
    <col min="9993" max="9993" width="11.28515625" style="1" customWidth="1"/>
    <col min="9994" max="9994" width="11.140625" style="1" customWidth="1"/>
    <col min="9995" max="10000" width="11.28515625" style="1" customWidth="1"/>
    <col min="10001" max="10001" width="10.85546875" style="1" customWidth="1"/>
    <col min="10002" max="10002" width="11.28515625" style="1" customWidth="1"/>
    <col min="10003" max="10003" width="13" style="1" customWidth="1"/>
    <col min="10004" max="10240" width="9.140625" style="1"/>
    <col min="10241" max="10241" width="6.7109375" style="1" customWidth="1"/>
    <col min="10242" max="10242" width="25.140625" style="1" customWidth="1"/>
    <col min="10243" max="10243" width="16.42578125" style="1" customWidth="1"/>
    <col min="10244" max="10245" width="6.5703125" style="1" customWidth="1"/>
    <col min="10246" max="10246" width="13.42578125" style="1" customWidth="1"/>
    <col min="10247" max="10247" width="0" style="1" hidden="1" customWidth="1"/>
    <col min="10248" max="10248" width="11.5703125" style="1" customWidth="1"/>
    <col min="10249" max="10249" width="11.28515625" style="1" customWidth="1"/>
    <col min="10250" max="10250" width="11.140625" style="1" customWidth="1"/>
    <col min="10251" max="10256" width="11.28515625" style="1" customWidth="1"/>
    <col min="10257" max="10257" width="10.85546875" style="1" customWidth="1"/>
    <col min="10258" max="10258" width="11.28515625" style="1" customWidth="1"/>
    <col min="10259" max="10259" width="13" style="1" customWidth="1"/>
    <col min="10260" max="10496" width="9.140625" style="1"/>
    <col min="10497" max="10497" width="6.7109375" style="1" customWidth="1"/>
    <col min="10498" max="10498" width="25.140625" style="1" customWidth="1"/>
    <col min="10499" max="10499" width="16.42578125" style="1" customWidth="1"/>
    <col min="10500" max="10501" width="6.5703125" style="1" customWidth="1"/>
    <col min="10502" max="10502" width="13.42578125" style="1" customWidth="1"/>
    <col min="10503" max="10503" width="0" style="1" hidden="1" customWidth="1"/>
    <col min="10504" max="10504" width="11.5703125" style="1" customWidth="1"/>
    <col min="10505" max="10505" width="11.28515625" style="1" customWidth="1"/>
    <col min="10506" max="10506" width="11.140625" style="1" customWidth="1"/>
    <col min="10507" max="10512" width="11.28515625" style="1" customWidth="1"/>
    <col min="10513" max="10513" width="10.85546875" style="1" customWidth="1"/>
    <col min="10514" max="10514" width="11.28515625" style="1" customWidth="1"/>
    <col min="10515" max="10515" width="13" style="1" customWidth="1"/>
    <col min="10516" max="10752" width="9.140625" style="1"/>
    <col min="10753" max="10753" width="6.7109375" style="1" customWidth="1"/>
    <col min="10754" max="10754" width="25.140625" style="1" customWidth="1"/>
    <col min="10755" max="10755" width="16.42578125" style="1" customWidth="1"/>
    <col min="10756" max="10757" width="6.5703125" style="1" customWidth="1"/>
    <col min="10758" max="10758" width="13.42578125" style="1" customWidth="1"/>
    <col min="10759" max="10759" width="0" style="1" hidden="1" customWidth="1"/>
    <col min="10760" max="10760" width="11.5703125" style="1" customWidth="1"/>
    <col min="10761" max="10761" width="11.28515625" style="1" customWidth="1"/>
    <col min="10762" max="10762" width="11.140625" style="1" customWidth="1"/>
    <col min="10763" max="10768" width="11.28515625" style="1" customWidth="1"/>
    <col min="10769" max="10769" width="10.85546875" style="1" customWidth="1"/>
    <col min="10770" max="10770" width="11.28515625" style="1" customWidth="1"/>
    <col min="10771" max="10771" width="13" style="1" customWidth="1"/>
    <col min="10772" max="11008" width="9.140625" style="1"/>
    <col min="11009" max="11009" width="6.7109375" style="1" customWidth="1"/>
    <col min="11010" max="11010" width="25.140625" style="1" customWidth="1"/>
    <col min="11011" max="11011" width="16.42578125" style="1" customWidth="1"/>
    <col min="11012" max="11013" width="6.5703125" style="1" customWidth="1"/>
    <col min="11014" max="11014" width="13.42578125" style="1" customWidth="1"/>
    <col min="11015" max="11015" width="0" style="1" hidden="1" customWidth="1"/>
    <col min="11016" max="11016" width="11.5703125" style="1" customWidth="1"/>
    <col min="11017" max="11017" width="11.28515625" style="1" customWidth="1"/>
    <col min="11018" max="11018" width="11.140625" style="1" customWidth="1"/>
    <col min="11019" max="11024" width="11.28515625" style="1" customWidth="1"/>
    <col min="11025" max="11025" width="10.85546875" style="1" customWidth="1"/>
    <col min="11026" max="11026" width="11.28515625" style="1" customWidth="1"/>
    <col min="11027" max="11027" width="13" style="1" customWidth="1"/>
    <col min="11028" max="11264" width="9.140625" style="1"/>
    <col min="11265" max="11265" width="6.7109375" style="1" customWidth="1"/>
    <col min="11266" max="11266" width="25.140625" style="1" customWidth="1"/>
    <col min="11267" max="11267" width="16.42578125" style="1" customWidth="1"/>
    <col min="11268" max="11269" width="6.5703125" style="1" customWidth="1"/>
    <col min="11270" max="11270" width="13.42578125" style="1" customWidth="1"/>
    <col min="11271" max="11271" width="0" style="1" hidden="1" customWidth="1"/>
    <col min="11272" max="11272" width="11.5703125" style="1" customWidth="1"/>
    <col min="11273" max="11273" width="11.28515625" style="1" customWidth="1"/>
    <col min="11274" max="11274" width="11.140625" style="1" customWidth="1"/>
    <col min="11275" max="11280" width="11.28515625" style="1" customWidth="1"/>
    <col min="11281" max="11281" width="10.85546875" style="1" customWidth="1"/>
    <col min="11282" max="11282" width="11.28515625" style="1" customWidth="1"/>
    <col min="11283" max="11283" width="13" style="1" customWidth="1"/>
    <col min="11284" max="11520" width="9.140625" style="1"/>
    <col min="11521" max="11521" width="6.7109375" style="1" customWidth="1"/>
    <col min="11522" max="11522" width="25.140625" style="1" customWidth="1"/>
    <col min="11523" max="11523" width="16.42578125" style="1" customWidth="1"/>
    <col min="11524" max="11525" width="6.5703125" style="1" customWidth="1"/>
    <col min="11526" max="11526" width="13.42578125" style="1" customWidth="1"/>
    <col min="11527" max="11527" width="0" style="1" hidden="1" customWidth="1"/>
    <col min="11528" max="11528" width="11.5703125" style="1" customWidth="1"/>
    <col min="11529" max="11529" width="11.28515625" style="1" customWidth="1"/>
    <col min="11530" max="11530" width="11.140625" style="1" customWidth="1"/>
    <col min="11531" max="11536" width="11.28515625" style="1" customWidth="1"/>
    <col min="11537" max="11537" width="10.85546875" style="1" customWidth="1"/>
    <col min="11538" max="11538" width="11.28515625" style="1" customWidth="1"/>
    <col min="11539" max="11539" width="13" style="1" customWidth="1"/>
    <col min="11540" max="11776" width="9.140625" style="1"/>
    <col min="11777" max="11777" width="6.7109375" style="1" customWidth="1"/>
    <col min="11778" max="11778" width="25.140625" style="1" customWidth="1"/>
    <col min="11779" max="11779" width="16.42578125" style="1" customWidth="1"/>
    <col min="11780" max="11781" width="6.5703125" style="1" customWidth="1"/>
    <col min="11782" max="11782" width="13.42578125" style="1" customWidth="1"/>
    <col min="11783" max="11783" width="0" style="1" hidden="1" customWidth="1"/>
    <col min="11784" max="11784" width="11.5703125" style="1" customWidth="1"/>
    <col min="11785" max="11785" width="11.28515625" style="1" customWidth="1"/>
    <col min="11786" max="11786" width="11.140625" style="1" customWidth="1"/>
    <col min="11787" max="11792" width="11.28515625" style="1" customWidth="1"/>
    <col min="11793" max="11793" width="10.85546875" style="1" customWidth="1"/>
    <col min="11794" max="11794" width="11.28515625" style="1" customWidth="1"/>
    <col min="11795" max="11795" width="13" style="1" customWidth="1"/>
    <col min="11796" max="12032" width="9.140625" style="1"/>
    <col min="12033" max="12033" width="6.7109375" style="1" customWidth="1"/>
    <col min="12034" max="12034" width="25.140625" style="1" customWidth="1"/>
    <col min="12035" max="12035" width="16.42578125" style="1" customWidth="1"/>
    <col min="12036" max="12037" width="6.5703125" style="1" customWidth="1"/>
    <col min="12038" max="12038" width="13.42578125" style="1" customWidth="1"/>
    <col min="12039" max="12039" width="0" style="1" hidden="1" customWidth="1"/>
    <col min="12040" max="12040" width="11.5703125" style="1" customWidth="1"/>
    <col min="12041" max="12041" width="11.28515625" style="1" customWidth="1"/>
    <col min="12042" max="12042" width="11.140625" style="1" customWidth="1"/>
    <col min="12043" max="12048" width="11.28515625" style="1" customWidth="1"/>
    <col min="12049" max="12049" width="10.85546875" style="1" customWidth="1"/>
    <col min="12050" max="12050" width="11.28515625" style="1" customWidth="1"/>
    <col min="12051" max="12051" width="13" style="1" customWidth="1"/>
    <col min="12052" max="12288" width="9.140625" style="1"/>
    <col min="12289" max="12289" width="6.7109375" style="1" customWidth="1"/>
    <col min="12290" max="12290" width="25.140625" style="1" customWidth="1"/>
    <col min="12291" max="12291" width="16.42578125" style="1" customWidth="1"/>
    <col min="12292" max="12293" width="6.5703125" style="1" customWidth="1"/>
    <col min="12294" max="12294" width="13.42578125" style="1" customWidth="1"/>
    <col min="12295" max="12295" width="0" style="1" hidden="1" customWidth="1"/>
    <col min="12296" max="12296" width="11.5703125" style="1" customWidth="1"/>
    <col min="12297" max="12297" width="11.28515625" style="1" customWidth="1"/>
    <col min="12298" max="12298" width="11.140625" style="1" customWidth="1"/>
    <col min="12299" max="12304" width="11.28515625" style="1" customWidth="1"/>
    <col min="12305" max="12305" width="10.85546875" style="1" customWidth="1"/>
    <col min="12306" max="12306" width="11.28515625" style="1" customWidth="1"/>
    <col min="12307" max="12307" width="13" style="1" customWidth="1"/>
    <col min="12308" max="12544" width="9.140625" style="1"/>
    <col min="12545" max="12545" width="6.7109375" style="1" customWidth="1"/>
    <col min="12546" max="12546" width="25.140625" style="1" customWidth="1"/>
    <col min="12547" max="12547" width="16.42578125" style="1" customWidth="1"/>
    <col min="12548" max="12549" width="6.5703125" style="1" customWidth="1"/>
    <col min="12550" max="12550" width="13.42578125" style="1" customWidth="1"/>
    <col min="12551" max="12551" width="0" style="1" hidden="1" customWidth="1"/>
    <col min="12552" max="12552" width="11.5703125" style="1" customWidth="1"/>
    <col min="12553" max="12553" width="11.28515625" style="1" customWidth="1"/>
    <col min="12554" max="12554" width="11.140625" style="1" customWidth="1"/>
    <col min="12555" max="12560" width="11.28515625" style="1" customWidth="1"/>
    <col min="12561" max="12561" width="10.85546875" style="1" customWidth="1"/>
    <col min="12562" max="12562" width="11.28515625" style="1" customWidth="1"/>
    <col min="12563" max="12563" width="13" style="1" customWidth="1"/>
    <col min="12564" max="12800" width="9.140625" style="1"/>
    <col min="12801" max="12801" width="6.7109375" style="1" customWidth="1"/>
    <col min="12802" max="12802" width="25.140625" style="1" customWidth="1"/>
    <col min="12803" max="12803" width="16.42578125" style="1" customWidth="1"/>
    <col min="12804" max="12805" width="6.5703125" style="1" customWidth="1"/>
    <col min="12806" max="12806" width="13.42578125" style="1" customWidth="1"/>
    <col min="12807" max="12807" width="0" style="1" hidden="1" customWidth="1"/>
    <col min="12808" max="12808" width="11.5703125" style="1" customWidth="1"/>
    <col min="12809" max="12809" width="11.28515625" style="1" customWidth="1"/>
    <col min="12810" max="12810" width="11.140625" style="1" customWidth="1"/>
    <col min="12811" max="12816" width="11.28515625" style="1" customWidth="1"/>
    <col min="12817" max="12817" width="10.85546875" style="1" customWidth="1"/>
    <col min="12818" max="12818" width="11.28515625" style="1" customWidth="1"/>
    <col min="12819" max="12819" width="13" style="1" customWidth="1"/>
    <col min="12820" max="13056" width="9.140625" style="1"/>
    <col min="13057" max="13057" width="6.7109375" style="1" customWidth="1"/>
    <col min="13058" max="13058" width="25.140625" style="1" customWidth="1"/>
    <col min="13059" max="13059" width="16.42578125" style="1" customWidth="1"/>
    <col min="13060" max="13061" width="6.5703125" style="1" customWidth="1"/>
    <col min="13062" max="13062" width="13.42578125" style="1" customWidth="1"/>
    <col min="13063" max="13063" width="0" style="1" hidden="1" customWidth="1"/>
    <col min="13064" max="13064" width="11.5703125" style="1" customWidth="1"/>
    <col min="13065" max="13065" width="11.28515625" style="1" customWidth="1"/>
    <col min="13066" max="13066" width="11.140625" style="1" customWidth="1"/>
    <col min="13067" max="13072" width="11.28515625" style="1" customWidth="1"/>
    <col min="13073" max="13073" width="10.85546875" style="1" customWidth="1"/>
    <col min="13074" max="13074" width="11.28515625" style="1" customWidth="1"/>
    <col min="13075" max="13075" width="13" style="1" customWidth="1"/>
    <col min="13076" max="13312" width="9.140625" style="1"/>
    <col min="13313" max="13313" width="6.7109375" style="1" customWidth="1"/>
    <col min="13314" max="13314" width="25.140625" style="1" customWidth="1"/>
    <col min="13315" max="13315" width="16.42578125" style="1" customWidth="1"/>
    <col min="13316" max="13317" width="6.5703125" style="1" customWidth="1"/>
    <col min="13318" max="13318" width="13.42578125" style="1" customWidth="1"/>
    <col min="13319" max="13319" width="0" style="1" hidden="1" customWidth="1"/>
    <col min="13320" max="13320" width="11.5703125" style="1" customWidth="1"/>
    <col min="13321" max="13321" width="11.28515625" style="1" customWidth="1"/>
    <col min="13322" max="13322" width="11.140625" style="1" customWidth="1"/>
    <col min="13323" max="13328" width="11.28515625" style="1" customWidth="1"/>
    <col min="13329" max="13329" width="10.85546875" style="1" customWidth="1"/>
    <col min="13330" max="13330" width="11.28515625" style="1" customWidth="1"/>
    <col min="13331" max="13331" width="13" style="1" customWidth="1"/>
    <col min="13332" max="13568" width="9.140625" style="1"/>
    <col min="13569" max="13569" width="6.7109375" style="1" customWidth="1"/>
    <col min="13570" max="13570" width="25.140625" style="1" customWidth="1"/>
    <col min="13571" max="13571" width="16.42578125" style="1" customWidth="1"/>
    <col min="13572" max="13573" width="6.5703125" style="1" customWidth="1"/>
    <col min="13574" max="13574" width="13.42578125" style="1" customWidth="1"/>
    <col min="13575" max="13575" width="0" style="1" hidden="1" customWidth="1"/>
    <col min="13576" max="13576" width="11.5703125" style="1" customWidth="1"/>
    <col min="13577" max="13577" width="11.28515625" style="1" customWidth="1"/>
    <col min="13578" max="13578" width="11.140625" style="1" customWidth="1"/>
    <col min="13579" max="13584" width="11.28515625" style="1" customWidth="1"/>
    <col min="13585" max="13585" width="10.85546875" style="1" customWidth="1"/>
    <col min="13586" max="13586" width="11.28515625" style="1" customWidth="1"/>
    <col min="13587" max="13587" width="13" style="1" customWidth="1"/>
    <col min="13588" max="13824" width="9.140625" style="1"/>
    <col min="13825" max="13825" width="6.7109375" style="1" customWidth="1"/>
    <col min="13826" max="13826" width="25.140625" style="1" customWidth="1"/>
    <col min="13827" max="13827" width="16.42578125" style="1" customWidth="1"/>
    <col min="13828" max="13829" width="6.5703125" style="1" customWidth="1"/>
    <col min="13830" max="13830" width="13.42578125" style="1" customWidth="1"/>
    <col min="13831" max="13831" width="0" style="1" hidden="1" customWidth="1"/>
    <col min="13832" max="13832" width="11.5703125" style="1" customWidth="1"/>
    <col min="13833" max="13833" width="11.28515625" style="1" customWidth="1"/>
    <col min="13834" max="13834" width="11.140625" style="1" customWidth="1"/>
    <col min="13835" max="13840" width="11.28515625" style="1" customWidth="1"/>
    <col min="13841" max="13841" width="10.85546875" style="1" customWidth="1"/>
    <col min="13842" max="13842" width="11.28515625" style="1" customWidth="1"/>
    <col min="13843" max="13843" width="13" style="1" customWidth="1"/>
    <col min="13844" max="14080" width="9.140625" style="1"/>
    <col min="14081" max="14081" width="6.7109375" style="1" customWidth="1"/>
    <col min="14082" max="14082" width="25.140625" style="1" customWidth="1"/>
    <col min="14083" max="14083" width="16.42578125" style="1" customWidth="1"/>
    <col min="14084" max="14085" width="6.5703125" style="1" customWidth="1"/>
    <col min="14086" max="14086" width="13.42578125" style="1" customWidth="1"/>
    <col min="14087" max="14087" width="0" style="1" hidden="1" customWidth="1"/>
    <col min="14088" max="14088" width="11.5703125" style="1" customWidth="1"/>
    <col min="14089" max="14089" width="11.28515625" style="1" customWidth="1"/>
    <col min="14090" max="14090" width="11.140625" style="1" customWidth="1"/>
    <col min="14091" max="14096" width="11.28515625" style="1" customWidth="1"/>
    <col min="14097" max="14097" width="10.85546875" style="1" customWidth="1"/>
    <col min="14098" max="14098" width="11.28515625" style="1" customWidth="1"/>
    <col min="14099" max="14099" width="13" style="1" customWidth="1"/>
    <col min="14100" max="14336" width="9.140625" style="1"/>
    <col min="14337" max="14337" width="6.7109375" style="1" customWidth="1"/>
    <col min="14338" max="14338" width="25.140625" style="1" customWidth="1"/>
    <col min="14339" max="14339" width="16.42578125" style="1" customWidth="1"/>
    <col min="14340" max="14341" width="6.5703125" style="1" customWidth="1"/>
    <col min="14342" max="14342" width="13.42578125" style="1" customWidth="1"/>
    <col min="14343" max="14343" width="0" style="1" hidden="1" customWidth="1"/>
    <col min="14344" max="14344" width="11.5703125" style="1" customWidth="1"/>
    <col min="14345" max="14345" width="11.28515625" style="1" customWidth="1"/>
    <col min="14346" max="14346" width="11.140625" style="1" customWidth="1"/>
    <col min="14347" max="14352" width="11.28515625" style="1" customWidth="1"/>
    <col min="14353" max="14353" width="10.85546875" style="1" customWidth="1"/>
    <col min="14354" max="14354" width="11.28515625" style="1" customWidth="1"/>
    <col min="14355" max="14355" width="13" style="1" customWidth="1"/>
    <col min="14356" max="14592" width="9.140625" style="1"/>
    <col min="14593" max="14593" width="6.7109375" style="1" customWidth="1"/>
    <col min="14594" max="14594" width="25.140625" style="1" customWidth="1"/>
    <col min="14595" max="14595" width="16.42578125" style="1" customWidth="1"/>
    <col min="14596" max="14597" width="6.5703125" style="1" customWidth="1"/>
    <col min="14598" max="14598" width="13.42578125" style="1" customWidth="1"/>
    <col min="14599" max="14599" width="0" style="1" hidden="1" customWidth="1"/>
    <col min="14600" max="14600" width="11.5703125" style="1" customWidth="1"/>
    <col min="14601" max="14601" width="11.28515625" style="1" customWidth="1"/>
    <col min="14602" max="14602" width="11.140625" style="1" customWidth="1"/>
    <col min="14603" max="14608" width="11.28515625" style="1" customWidth="1"/>
    <col min="14609" max="14609" width="10.85546875" style="1" customWidth="1"/>
    <col min="14610" max="14610" width="11.28515625" style="1" customWidth="1"/>
    <col min="14611" max="14611" width="13" style="1" customWidth="1"/>
    <col min="14612" max="14848" width="9.140625" style="1"/>
    <col min="14849" max="14849" width="6.7109375" style="1" customWidth="1"/>
    <col min="14850" max="14850" width="25.140625" style="1" customWidth="1"/>
    <col min="14851" max="14851" width="16.42578125" style="1" customWidth="1"/>
    <col min="14852" max="14853" width="6.5703125" style="1" customWidth="1"/>
    <col min="14854" max="14854" width="13.42578125" style="1" customWidth="1"/>
    <col min="14855" max="14855" width="0" style="1" hidden="1" customWidth="1"/>
    <col min="14856" max="14856" width="11.5703125" style="1" customWidth="1"/>
    <col min="14857" max="14857" width="11.28515625" style="1" customWidth="1"/>
    <col min="14858" max="14858" width="11.140625" style="1" customWidth="1"/>
    <col min="14859" max="14864" width="11.28515625" style="1" customWidth="1"/>
    <col min="14865" max="14865" width="10.85546875" style="1" customWidth="1"/>
    <col min="14866" max="14866" width="11.28515625" style="1" customWidth="1"/>
    <col min="14867" max="14867" width="13" style="1" customWidth="1"/>
    <col min="14868" max="15104" width="9.140625" style="1"/>
    <col min="15105" max="15105" width="6.7109375" style="1" customWidth="1"/>
    <col min="15106" max="15106" width="25.140625" style="1" customWidth="1"/>
    <col min="15107" max="15107" width="16.42578125" style="1" customWidth="1"/>
    <col min="15108" max="15109" width="6.5703125" style="1" customWidth="1"/>
    <col min="15110" max="15110" width="13.42578125" style="1" customWidth="1"/>
    <col min="15111" max="15111" width="0" style="1" hidden="1" customWidth="1"/>
    <col min="15112" max="15112" width="11.5703125" style="1" customWidth="1"/>
    <col min="15113" max="15113" width="11.28515625" style="1" customWidth="1"/>
    <col min="15114" max="15114" width="11.140625" style="1" customWidth="1"/>
    <col min="15115" max="15120" width="11.28515625" style="1" customWidth="1"/>
    <col min="15121" max="15121" width="10.85546875" style="1" customWidth="1"/>
    <col min="15122" max="15122" width="11.28515625" style="1" customWidth="1"/>
    <col min="15123" max="15123" width="13" style="1" customWidth="1"/>
    <col min="15124" max="15360" width="9.140625" style="1"/>
    <col min="15361" max="15361" width="6.7109375" style="1" customWidth="1"/>
    <col min="15362" max="15362" width="25.140625" style="1" customWidth="1"/>
    <col min="15363" max="15363" width="16.42578125" style="1" customWidth="1"/>
    <col min="15364" max="15365" width="6.5703125" style="1" customWidth="1"/>
    <col min="15366" max="15366" width="13.42578125" style="1" customWidth="1"/>
    <col min="15367" max="15367" width="0" style="1" hidden="1" customWidth="1"/>
    <col min="15368" max="15368" width="11.5703125" style="1" customWidth="1"/>
    <col min="15369" max="15369" width="11.28515625" style="1" customWidth="1"/>
    <col min="15370" max="15370" width="11.140625" style="1" customWidth="1"/>
    <col min="15371" max="15376" width="11.28515625" style="1" customWidth="1"/>
    <col min="15377" max="15377" width="10.85546875" style="1" customWidth="1"/>
    <col min="15378" max="15378" width="11.28515625" style="1" customWidth="1"/>
    <col min="15379" max="15379" width="13" style="1" customWidth="1"/>
    <col min="15380" max="15616" width="9.140625" style="1"/>
    <col min="15617" max="15617" width="6.7109375" style="1" customWidth="1"/>
    <col min="15618" max="15618" width="25.140625" style="1" customWidth="1"/>
    <col min="15619" max="15619" width="16.42578125" style="1" customWidth="1"/>
    <col min="15620" max="15621" width="6.5703125" style="1" customWidth="1"/>
    <col min="15622" max="15622" width="13.42578125" style="1" customWidth="1"/>
    <col min="15623" max="15623" width="0" style="1" hidden="1" customWidth="1"/>
    <col min="15624" max="15624" width="11.5703125" style="1" customWidth="1"/>
    <col min="15625" max="15625" width="11.28515625" style="1" customWidth="1"/>
    <col min="15626" max="15626" width="11.140625" style="1" customWidth="1"/>
    <col min="15627" max="15632" width="11.28515625" style="1" customWidth="1"/>
    <col min="15633" max="15633" width="10.85546875" style="1" customWidth="1"/>
    <col min="15634" max="15634" width="11.28515625" style="1" customWidth="1"/>
    <col min="15635" max="15635" width="13" style="1" customWidth="1"/>
    <col min="15636" max="15872" width="9.140625" style="1"/>
    <col min="15873" max="15873" width="6.7109375" style="1" customWidth="1"/>
    <col min="15874" max="15874" width="25.140625" style="1" customWidth="1"/>
    <col min="15875" max="15875" width="16.42578125" style="1" customWidth="1"/>
    <col min="15876" max="15877" width="6.5703125" style="1" customWidth="1"/>
    <col min="15878" max="15878" width="13.42578125" style="1" customWidth="1"/>
    <col min="15879" max="15879" width="0" style="1" hidden="1" customWidth="1"/>
    <col min="15880" max="15880" width="11.5703125" style="1" customWidth="1"/>
    <col min="15881" max="15881" width="11.28515625" style="1" customWidth="1"/>
    <col min="15882" max="15882" width="11.140625" style="1" customWidth="1"/>
    <col min="15883" max="15888" width="11.28515625" style="1" customWidth="1"/>
    <col min="15889" max="15889" width="10.85546875" style="1" customWidth="1"/>
    <col min="15890" max="15890" width="11.28515625" style="1" customWidth="1"/>
    <col min="15891" max="15891" width="13" style="1" customWidth="1"/>
    <col min="15892" max="16128" width="9.140625" style="1"/>
    <col min="16129" max="16129" width="6.7109375" style="1" customWidth="1"/>
    <col min="16130" max="16130" width="25.140625" style="1" customWidth="1"/>
    <col min="16131" max="16131" width="16.42578125" style="1" customWidth="1"/>
    <col min="16132" max="16133" width="6.5703125" style="1" customWidth="1"/>
    <col min="16134" max="16134" width="13.42578125" style="1" customWidth="1"/>
    <col min="16135" max="16135" width="0" style="1" hidden="1" customWidth="1"/>
    <col min="16136" max="16136" width="11.5703125" style="1" customWidth="1"/>
    <col min="16137" max="16137" width="11.28515625" style="1" customWidth="1"/>
    <col min="16138" max="16138" width="11.140625" style="1" customWidth="1"/>
    <col min="16139" max="16144" width="11.28515625" style="1" customWidth="1"/>
    <col min="16145" max="16145" width="10.85546875" style="1" customWidth="1"/>
    <col min="16146" max="16146" width="11.28515625" style="1" customWidth="1"/>
    <col min="16147" max="16147" width="13" style="1" customWidth="1"/>
    <col min="16148" max="16384" width="9.140625" style="1"/>
  </cols>
  <sheetData>
    <row r="1" spans="1:21" ht="22.5" customHeight="1">
      <c r="K1" s="508" t="s">
        <v>616</v>
      </c>
      <c r="L1" s="508"/>
      <c r="M1" s="508"/>
      <c r="N1" s="508"/>
      <c r="O1" s="508"/>
      <c r="P1" s="508"/>
      <c r="Q1" s="508"/>
      <c r="R1" s="508"/>
      <c r="S1" s="508"/>
    </row>
    <row r="2" spans="1:21" ht="22.5" customHeight="1">
      <c r="K2" s="131"/>
      <c r="L2" s="131"/>
      <c r="M2" s="131"/>
      <c r="N2" s="131"/>
      <c r="O2" s="131"/>
      <c r="P2" s="131"/>
      <c r="Q2" s="131"/>
      <c r="R2" s="131"/>
      <c r="S2" s="131"/>
    </row>
    <row r="3" spans="1:21" s="2" customFormat="1" ht="25.5" customHeight="1" thickBot="1">
      <c r="A3" s="509" t="s">
        <v>198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U3" s="1"/>
    </row>
    <row r="4" spans="1:21" s="6" customFormat="1" ht="0.75" hidden="1" customHeight="1" thickBot="1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 t="s">
        <v>7</v>
      </c>
    </row>
    <row r="5" spans="1:21" s="7" customFormat="1" ht="64.5" customHeight="1">
      <c r="A5" s="510" t="s">
        <v>0</v>
      </c>
      <c r="B5" s="512" t="s">
        <v>8</v>
      </c>
      <c r="C5" s="514" t="s">
        <v>9</v>
      </c>
      <c r="D5" s="516" t="s">
        <v>10</v>
      </c>
      <c r="E5" s="516"/>
      <c r="F5" s="512" t="s">
        <v>11</v>
      </c>
      <c r="G5" s="517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9"/>
      <c r="S5" s="520" t="s">
        <v>12</v>
      </c>
    </row>
    <row r="6" spans="1:21" s="7" customFormat="1" ht="51" customHeight="1" thickBot="1">
      <c r="A6" s="511"/>
      <c r="B6" s="513"/>
      <c r="C6" s="515"/>
      <c r="D6" s="246" t="s">
        <v>13</v>
      </c>
      <c r="E6" s="246" t="s">
        <v>14</v>
      </c>
      <c r="F6" s="513"/>
      <c r="G6" s="244" t="s">
        <v>15</v>
      </c>
      <c r="H6" s="244" t="s">
        <v>16</v>
      </c>
      <c r="I6" s="244" t="s">
        <v>17</v>
      </c>
      <c r="J6" s="244" t="s">
        <v>18</v>
      </c>
      <c r="K6" s="244" t="s">
        <v>19</v>
      </c>
      <c r="L6" s="244" t="s">
        <v>20</v>
      </c>
      <c r="M6" s="244" t="s">
        <v>21</v>
      </c>
      <c r="N6" s="244" t="s">
        <v>22</v>
      </c>
      <c r="O6" s="244" t="s">
        <v>23</v>
      </c>
      <c r="P6" s="244" t="s">
        <v>24</v>
      </c>
      <c r="Q6" s="245" t="s">
        <v>25</v>
      </c>
      <c r="R6" s="245" t="s">
        <v>26</v>
      </c>
      <c r="S6" s="521"/>
    </row>
    <row r="7" spans="1:21" s="11" customFormat="1" ht="13.5" customHeight="1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/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10">
        <v>18</v>
      </c>
    </row>
    <row r="8" spans="1:21" s="15" customFormat="1">
      <c r="A8" s="128" t="s">
        <v>27</v>
      </c>
      <c r="B8" s="522" t="s">
        <v>28</v>
      </c>
      <c r="C8" s="522"/>
      <c r="D8" s="522"/>
      <c r="E8" s="522"/>
      <c r="F8" s="129">
        <f t="shared" ref="F8:S8" si="0">F11++F39+F51</f>
        <v>53114002.200000003</v>
      </c>
      <c r="G8" s="129" t="e">
        <f t="shared" si="0"/>
        <v>#REF!</v>
      </c>
      <c r="H8" s="129">
        <f t="shared" si="0"/>
        <v>1998109</v>
      </c>
      <c r="I8" s="129">
        <f t="shared" si="0"/>
        <v>3035281.2</v>
      </c>
      <c r="J8" s="129">
        <f t="shared" si="0"/>
        <v>2293840</v>
      </c>
      <c r="K8" s="129">
        <f t="shared" si="0"/>
        <v>2456617</v>
      </c>
      <c r="L8" s="129">
        <f t="shared" si="0"/>
        <v>2902981</v>
      </c>
      <c r="M8" s="129">
        <f t="shared" si="0"/>
        <v>2994000</v>
      </c>
      <c r="N8" s="129">
        <f t="shared" si="0"/>
        <v>3607800</v>
      </c>
      <c r="O8" s="129">
        <f t="shared" si="0"/>
        <v>3600500</v>
      </c>
      <c r="P8" s="129">
        <f t="shared" si="0"/>
        <v>6351000</v>
      </c>
      <c r="Q8" s="129">
        <f t="shared" si="0"/>
        <v>9177000</v>
      </c>
      <c r="R8" s="129">
        <f t="shared" si="0"/>
        <v>9827000</v>
      </c>
      <c r="S8" s="130">
        <f t="shared" si="0"/>
        <v>46246019.200000003</v>
      </c>
    </row>
    <row r="9" spans="1:21" s="15" customFormat="1">
      <c r="A9" s="12" t="s">
        <v>29</v>
      </c>
      <c r="B9" s="523" t="s">
        <v>30</v>
      </c>
      <c r="C9" s="523"/>
      <c r="D9" s="523"/>
      <c r="E9" s="523"/>
      <c r="F9" s="13">
        <f t="shared" ref="F9:S9" si="1">F12+F40+F52</f>
        <v>4547512.2</v>
      </c>
      <c r="G9" s="13">
        <f t="shared" si="1"/>
        <v>0</v>
      </c>
      <c r="H9" s="13">
        <f t="shared" si="1"/>
        <v>648376</v>
      </c>
      <c r="I9" s="13">
        <f t="shared" si="1"/>
        <v>651454.19999999995</v>
      </c>
      <c r="J9" s="13">
        <f t="shared" si="1"/>
        <v>357212</v>
      </c>
      <c r="K9" s="13">
        <f t="shared" si="1"/>
        <v>249000</v>
      </c>
      <c r="L9" s="13">
        <f t="shared" si="1"/>
        <v>249000</v>
      </c>
      <c r="M9" s="13">
        <f t="shared" si="1"/>
        <v>199000</v>
      </c>
      <c r="N9" s="13">
        <f t="shared" si="1"/>
        <v>101000</v>
      </c>
      <c r="O9" s="13">
        <f t="shared" si="1"/>
        <v>41000</v>
      </c>
      <c r="P9" s="13">
        <f t="shared" si="1"/>
        <v>17000</v>
      </c>
      <c r="Q9" s="13">
        <f t="shared" si="1"/>
        <v>17000</v>
      </c>
      <c r="R9" s="13">
        <f t="shared" si="1"/>
        <v>17000</v>
      </c>
      <c r="S9" s="14">
        <f t="shared" si="1"/>
        <v>1898666.2</v>
      </c>
    </row>
    <row r="10" spans="1:21" s="15" customFormat="1" ht="15" thickBot="1">
      <c r="A10" s="16" t="s">
        <v>31</v>
      </c>
      <c r="B10" s="524" t="s">
        <v>32</v>
      </c>
      <c r="C10" s="524"/>
      <c r="D10" s="524"/>
      <c r="E10" s="524"/>
      <c r="F10" s="17">
        <f t="shared" ref="F10:S10" si="2">F17+F41+F63</f>
        <v>48566490</v>
      </c>
      <c r="G10" s="17" t="e">
        <f t="shared" si="2"/>
        <v>#REF!</v>
      </c>
      <c r="H10" s="17">
        <f t="shared" si="2"/>
        <v>1349733</v>
      </c>
      <c r="I10" s="17">
        <f t="shared" si="2"/>
        <v>2383827</v>
      </c>
      <c r="J10" s="17">
        <f t="shared" si="2"/>
        <v>1936628</v>
      </c>
      <c r="K10" s="17">
        <f t="shared" si="2"/>
        <v>2207617</v>
      </c>
      <c r="L10" s="17">
        <f t="shared" si="2"/>
        <v>2653981</v>
      </c>
      <c r="M10" s="17">
        <f t="shared" si="2"/>
        <v>2795000</v>
      </c>
      <c r="N10" s="17">
        <f t="shared" si="2"/>
        <v>3506800</v>
      </c>
      <c r="O10" s="17">
        <f t="shared" si="2"/>
        <v>3559500</v>
      </c>
      <c r="P10" s="17">
        <f t="shared" si="2"/>
        <v>6334000</v>
      </c>
      <c r="Q10" s="17">
        <f t="shared" si="2"/>
        <v>9160000</v>
      </c>
      <c r="R10" s="17">
        <f t="shared" si="2"/>
        <v>9810000</v>
      </c>
      <c r="S10" s="18">
        <f t="shared" si="2"/>
        <v>44347353</v>
      </c>
    </row>
    <row r="11" spans="1:21" s="85" customFormat="1" ht="66.75" customHeight="1" thickBot="1">
      <c r="A11" s="132" t="s">
        <v>1</v>
      </c>
      <c r="B11" s="525" t="s">
        <v>33</v>
      </c>
      <c r="C11" s="526"/>
      <c r="D11" s="526"/>
      <c r="E11" s="527"/>
      <c r="F11" s="133">
        <f t="shared" ref="F11:S11" si="3">F12+F17</f>
        <v>34771304.200000003</v>
      </c>
      <c r="G11" s="133" t="e">
        <f t="shared" si="3"/>
        <v>#REF!</v>
      </c>
      <c r="H11" s="133">
        <f t="shared" si="3"/>
        <v>648376</v>
      </c>
      <c r="I11" s="133">
        <f t="shared" si="3"/>
        <v>1810246.2</v>
      </c>
      <c r="J11" s="133">
        <f t="shared" si="3"/>
        <v>387212</v>
      </c>
      <c r="K11" s="133">
        <f t="shared" si="3"/>
        <v>437430</v>
      </c>
      <c r="L11" s="133">
        <f t="shared" si="3"/>
        <v>1010000</v>
      </c>
      <c r="M11" s="133">
        <f t="shared" si="3"/>
        <v>1785000</v>
      </c>
      <c r="N11" s="133">
        <f t="shared" si="3"/>
        <v>2346800</v>
      </c>
      <c r="O11" s="133">
        <f t="shared" si="3"/>
        <v>2250000</v>
      </c>
      <c r="P11" s="133">
        <f t="shared" si="3"/>
        <v>4874000</v>
      </c>
      <c r="Q11" s="133">
        <f t="shared" si="3"/>
        <v>8200000</v>
      </c>
      <c r="R11" s="133">
        <f t="shared" si="3"/>
        <v>8850000</v>
      </c>
      <c r="S11" s="134">
        <f t="shared" si="3"/>
        <v>31950688.199999999</v>
      </c>
    </row>
    <row r="12" spans="1:21" s="85" customFormat="1" ht="15" thickBot="1">
      <c r="A12" s="135" t="s">
        <v>2</v>
      </c>
      <c r="B12" s="505" t="s">
        <v>30</v>
      </c>
      <c r="C12" s="506"/>
      <c r="D12" s="506"/>
      <c r="E12" s="507"/>
      <c r="F12" s="136">
        <f t="shared" ref="F12:S12" si="4">SUM(F13:F16)</f>
        <v>3922512.2</v>
      </c>
      <c r="G12" s="136">
        <f t="shared" si="4"/>
        <v>0</v>
      </c>
      <c r="H12" s="136">
        <f t="shared" si="4"/>
        <v>648376</v>
      </c>
      <c r="I12" s="136">
        <f t="shared" si="4"/>
        <v>646454.19999999995</v>
      </c>
      <c r="J12" s="136">
        <f t="shared" si="4"/>
        <v>287212</v>
      </c>
      <c r="K12" s="136">
        <f t="shared" si="4"/>
        <v>110000</v>
      </c>
      <c r="L12" s="136">
        <f t="shared" si="4"/>
        <v>110000</v>
      </c>
      <c r="M12" s="136">
        <f t="shared" si="4"/>
        <v>60000</v>
      </c>
      <c r="N12" s="136">
        <f t="shared" si="4"/>
        <v>60000</v>
      </c>
      <c r="O12" s="136">
        <f t="shared" si="4"/>
        <v>0</v>
      </c>
      <c r="P12" s="136">
        <f t="shared" si="4"/>
        <v>0</v>
      </c>
      <c r="Q12" s="136">
        <f t="shared" si="4"/>
        <v>0</v>
      </c>
      <c r="R12" s="136">
        <f t="shared" si="4"/>
        <v>0</v>
      </c>
      <c r="S12" s="137">
        <f t="shared" si="4"/>
        <v>1273666.2</v>
      </c>
    </row>
    <row r="13" spans="1:21" s="15" customFormat="1" ht="36">
      <c r="A13" s="249" t="s">
        <v>34</v>
      </c>
      <c r="B13" s="19" t="s">
        <v>35</v>
      </c>
      <c r="C13" s="20" t="s">
        <v>36</v>
      </c>
      <c r="D13" s="21">
        <v>2009</v>
      </c>
      <c r="E13" s="21">
        <v>2019</v>
      </c>
      <c r="F13" s="22">
        <v>1948011</v>
      </c>
      <c r="G13" s="23"/>
      <c r="H13" s="23">
        <v>118641</v>
      </c>
      <c r="I13" s="23">
        <v>145296</v>
      </c>
      <c r="J13" s="24">
        <v>60000</v>
      </c>
      <c r="K13" s="24">
        <v>60000</v>
      </c>
      <c r="L13" s="24">
        <v>60000</v>
      </c>
      <c r="M13" s="24">
        <v>60000</v>
      </c>
      <c r="N13" s="24">
        <v>60000</v>
      </c>
      <c r="O13" s="25" t="s">
        <v>37</v>
      </c>
      <c r="P13" s="25" t="s">
        <v>37</v>
      </c>
      <c r="Q13" s="25" t="s">
        <v>37</v>
      </c>
      <c r="R13" s="25" t="s">
        <v>37</v>
      </c>
      <c r="S13" s="26">
        <f>SUM(I13:R13)</f>
        <v>445296</v>
      </c>
    </row>
    <row r="14" spans="1:21" s="34" customFormat="1" ht="24">
      <c r="A14" s="27" t="s">
        <v>38</v>
      </c>
      <c r="B14" s="28" t="s">
        <v>39</v>
      </c>
      <c r="C14" s="29" t="s">
        <v>40</v>
      </c>
      <c r="D14" s="30">
        <v>2008</v>
      </c>
      <c r="E14" s="30">
        <v>2014</v>
      </c>
      <c r="F14" s="31">
        <v>513432.2</v>
      </c>
      <c r="G14" s="32"/>
      <c r="H14" s="32">
        <v>122940</v>
      </c>
      <c r="I14" s="33">
        <v>91441.2</v>
      </c>
      <c r="J14" s="31" t="s">
        <v>37</v>
      </c>
      <c r="K14" s="31" t="s">
        <v>37</v>
      </c>
      <c r="L14" s="31" t="s">
        <v>37</v>
      </c>
      <c r="M14" s="31" t="s">
        <v>37</v>
      </c>
      <c r="N14" s="31" t="s">
        <v>37</v>
      </c>
      <c r="O14" s="31" t="s">
        <v>37</v>
      </c>
      <c r="P14" s="31" t="s">
        <v>37</v>
      </c>
      <c r="Q14" s="31" t="s">
        <v>37</v>
      </c>
      <c r="R14" s="31" t="s">
        <v>37</v>
      </c>
      <c r="S14" s="26">
        <f t="shared" ref="S14:S38" si="5">SUM(I14:R14)</f>
        <v>91441.2</v>
      </c>
    </row>
    <row r="15" spans="1:21" s="42" customFormat="1" ht="75" customHeight="1">
      <c r="A15" s="27" t="s">
        <v>41</v>
      </c>
      <c r="B15" s="35" t="s">
        <v>42</v>
      </c>
      <c r="C15" s="36" t="s">
        <v>43</v>
      </c>
      <c r="D15" s="37">
        <v>2012</v>
      </c>
      <c r="E15" s="37">
        <v>2015</v>
      </c>
      <c r="F15" s="38">
        <v>1361069</v>
      </c>
      <c r="G15" s="39"/>
      <c r="H15" s="39">
        <v>406795</v>
      </c>
      <c r="I15" s="39">
        <v>409717</v>
      </c>
      <c r="J15" s="39">
        <v>227212</v>
      </c>
      <c r="K15" s="40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 t="s">
        <v>37</v>
      </c>
      <c r="R15" s="41" t="s">
        <v>37</v>
      </c>
      <c r="S15" s="26">
        <f t="shared" si="5"/>
        <v>636929</v>
      </c>
    </row>
    <row r="16" spans="1:21" s="42" customFormat="1" ht="181.5" customHeight="1">
      <c r="A16" s="27" t="s">
        <v>44</v>
      </c>
      <c r="B16" s="159" t="s">
        <v>53</v>
      </c>
      <c r="C16" s="44" t="s">
        <v>54</v>
      </c>
      <c r="D16" s="160">
        <v>2016</v>
      </c>
      <c r="E16" s="160">
        <v>2017</v>
      </c>
      <c r="F16" s="91">
        <v>100000</v>
      </c>
      <c r="G16" s="92"/>
      <c r="H16" s="92"/>
      <c r="I16" s="62" t="s">
        <v>37</v>
      </c>
      <c r="J16" s="62" t="s">
        <v>37</v>
      </c>
      <c r="K16" s="92">
        <v>50000</v>
      </c>
      <c r="L16" s="92">
        <v>50000</v>
      </c>
      <c r="M16" s="62" t="s">
        <v>37</v>
      </c>
      <c r="N16" s="62" t="s">
        <v>37</v>
      </c>
      <c r="O16" s="62" t="s">
        <v>37</v>
      </c>
      <c r="P16" s="62" t="s">
        <v>37</v>
      </c>
      <c r="Q16" s="62" t="s">
        <v>37</v>
      </c>
      <c r="R16" s="62" t="s">
        <v>37</v>
      </c>
      <c r="S16" s="156">
        <f t="shared" si="5"/>
        <v>100000</v>
      </c>
    </row>
    <row r="17" spans="1:19" s="57" customFormat="1" ht="15" thickBot="1">
      <c r="A17" s="168" t="s">
        <v>3</v>
      </c>
      <c r="B17" s="505" t="s">
        <v>32</v>
      </c>
      <c r="C17" s="506"/>
      <c r="D17" s="506"/>
      <c r="E17" s="507"/>
      <c r="F17" s="136">
        <f>SUM(F18:F38)</f>
        <v>30848792</v>
      </c>
      <c r="G17" s="136" t="e">
        <f t="shared" ref="G17:H17" si="6">SUM(G18:G37)</f>
        <v>#REF!</v>
      </c>
      <c r="H17" s="136">
        <f t="shared" si="6"/>
        <v>0</v>
      </c>
      <c r="I17" s="136">
        <f>SUM(I18:I38)</f>
        <v>1163792</v>
      </c>
      <c r="J17" s="136">
        <f t="shared" ref="J17:S17" si="7">SUM(J18:J38)</f>
        <v>100000</v>
      </c>
      <c r="K17" s="136">
        <f t="shared" si="7"/>
        <v>327430</v>
      </c>
      <c r="L17" s="136">
        <f t="shared" si="7"/>
        <v>900000</v>
      </c>
      <c r="M17" s="136">
        <f t="shared" si="7"/>
        <v>1725000</v>
      </c>
      <c r="N17" s="136">
        <f t="shared" si="7"/>
        <v>2286800</v>
      </c>
      <c r="O17" s="136">
        <f t="shared" si="7"/>
        <v>2250000</v>
      </c>
      <c r="P17" s="136">
        <f t="shared" si="7"/>
        <v>4874000</v>
      </c>
      <c r="Q17" s="136">
        <f t="shared" si="7"/>
        <v>8200000</v>
      </c>
      <c r="R17" s="136">
        <f t="shared" si="7"/>
        <v>8850000</v>
      </c>
      <c r="S17" s="137">
        <f t="shared" si="7"/>
        <v>30677022</v>
      </c>
    </row>
    <row r="18" spans="1:19" s="42" customFormat="1" ht="78" customHeight="1">
      <c r="A18" s="249" t="s">
        <v>55</v>
      </c>
      <c r="B18" s="58" t="s">
        <v>197</v>
      </c>
      <c r="C18" s="44" t="s">
        <v>56</v>
      </c>
      <c r="D18" s="59">
        <v>2013</v>
      </c>
      <c r="E18" s="59">
        <v>2014</v>
      </c>
      <c r="F18" s="60">
        <v>995765</v>
      </c>
      <c r="G18" s="61"/>
      <c r="H18" s="62" t="s">
        <v>37</v>
      </c>
      <c r="I18" s="63">
        <v>995765</v>
      </c>
      <c r="J18" s="62" t="s">
        <v>37</v>
      </c>
      <c r="K18" s="62" t="s">
        <v>37</v>
      </c>
      <c r="L18" s="62" t="s">
        <v>37</v>
      </c>
      <c r="M18" s="62" t="s">
        <v>37</v>
      </c>
      <c r="N18" s="62" t="s">
        <v>37</v>
      </c>
      <c r="O18" s="62" t="s">
        <v>37</v>
      </c>
      <c r="P18" s="62" t="s">
        <v>37</v>
      </c>
      <c r="Q18" s="62" t="s">
        <v>37</v>
      </c>
      <c r="R18" s="62" t="s">
        <v>37</v>
      </c>
      <c r="S18" s="26">
        <f t="shared" si="5"/>
        <v>995765</v>
      </c>
    </row>
    <row r="19" spans="1:19" s="42" customFormat="1" ht="36" customHeight="1">
      <c r="A19" s="27" t="s">
        <v>57</v>
      </c>
      <c r="B19" s="58" t="s">
        <v>58</v>
      </c>
      <c r="C19" s="44" t="s">
        <v>59</v>
      </c>
      <c r="D19" s="59">
        <v>2022</v>
      </c>
      <c r="E19" s="59">
        <v>2023</v>
      </c>
      <c r="F19" s="60">
        <v>4500000</v>
      </c>
      <c r="G19" s="61"/>
      <c r="H19" s="62" t="s">
        <v>37</v>
      </c>
      <c r="I19" s="64" t="s">
        <v>196</v>
      </c>
      <c r="J19" s="62" t="s">
        <v>37</v>
      </c>
      <c r="K19" s="63">
        <v>0</v>
      </c>
      <c r="L19" s="63">
        <v>0</v>
      </c>
      <c r="M19" s="64">
        <v>0</v>
      </c>
      <c r="N19" s="64">
        <v>0</v>
      </c>
      <c r="O19" s="64">
        <v>0</v>
      </c>
      <c r="P19" s="62" t="s">
        <v>37</v>
      </c>
      <c r="Q19" s="64">
        <v>2000000</v>
      </c>
      <c r="R19" s="64">
        <v>2500000</v>
      </c>
      <c r="S19" s="26">
        <f t="shared" si="5"/>
        <v>4500000</v>
      </c>
    </row>
    <row r="20" spans="1:19" s="42" customFormat="1" ht="38.25" customHeight="1">
      <c r="A20" s="27" t="s">
        <v>60</v>
      </c>
      <c r="B20" s="58" t="s">
        <v>61</v>
      </c>
      <c r="C20" s="44" t="s">
        <v>62</v>
      </c>
      <c r="D20" s="59">
        <v>2017</v>
      </c>
      <c r="E20" s="59">
        <v>2018</v>
      </c>
      <c r="F20" s="60">
        <v>500000</v>
      </c>
      <c r="G20" s="61"/>
      <c r="H20" s="62">
        <v>0</v>
      </c>
      <c r="I20" s="62" t="s">
        <v>37</v>
      </c>
      <c r="J20" s="64" t="s">
        <v>196</v>
      </c>
      <c r="K20" s="64" t="s">
        <v>196</v>
      </c>
      <c r="L20" s="63">
        <v>100000</v>
      </c>
      <c r="M20" s="64">
        <v>400000</v>
      </c>
      <c r="N20" s="62">
        <v>0</v>
      </c>
      <c r="O20" s="62">
        <v>0</v>
      </c>
      <c r="P20" s="62">
        <v>0</v>
      </c>
      <c r="Q20" s="62">
        <v>0</v>
      </c>
      <c r="R20" s="62"/>
      <c r="S20" s="26">
        <f t="shared" si="5"/>
        <v>500000</v>
      </c>
    </row>
    <row r="21" spans="1:19" s="42" customFormat="1" ht="36">
      <c r="A21" s="27" t="s">
        <v>63</v>
      </c>
      <c r="B21" s="65" t="s">
        <v>64</v>
      </c>
      <c r="C21" s="44" t="s">
        <v>65</v>
      </c>
      <c r="D21" s="59">
        <v>2021</v>
      </c>
      <c r="E21" s="59">
        <v>2023</v>
      </c>
      <c r="F21" s="60">
        <v>5000000</v>
      </c>
      <c r="G21" s="61"/>
      <c r="H21" s="62" t="s">
        <v>37</v>
      </c>
      <c r="I21" s="62" t="s">
        <v>37</v>
      </c>
      <c r="J21" s="62" t="s">
        <v>37</v>
      </c>
      <c r="K21" s="62" t="s">
        <v>37</v>
      </c>
      <c r="L21" s="62" t="s">
        <v>37</v>
      </c>
      <c r="M21" s="62" t="s">
        <v>37</v>
      </c>
      <c r="N21" s="63">
        <v>0</v>
      </c>
      <c r="O21" s="64">
        <v>0</v>
      </c>
      <c r="P21" s="64">
        <v>1500000</v>
      </c>
      <c r="Q21" s="64">
        <v>1500000</v>
      </c>
      <c r="R21" s="64">
        <v>2000000</v>
      </c>
      <c r="S21" s="26">
        <f t="shared" si="5"/>
        <v>5000000</v>
      </c>
    </row>
    <row r="22" spans="1:19" s="250" customFormat="1" ht="36.75" customHeight="1">
      <c r="A22" s="253" t="s">
        <v>66</v>
      </c>
      <c r="B22" s="66" t="s">
        <v>67</v>
      </c>
      <c r="C22" s="44" t="s">
        <v>68</v>
      </c>
      <c r="D22" s="59">
        <v>2018</v>
      </c>
      <c r="E22" s="59">
        <v>2020</v>
      </c>
      <c r="F22" s="60">
        <v>2500000</v>
      </c>
      <c r="G22" s="61"/>
      <c r="H22" s="62"/>
      <c r="I22" s="62" t="s">
        <v>37</v>
      </c>
      <c r="J22" s="62" t="s">
        <v>37</v>
      </c>
      <c r="K22" s="62" t="s">
        <v>37</v>
      </c>
      <c r="L22" s="64" t="s">
        <v>37</v>
      </c>
      <c r="M22" s="64">
        <v>1000000</v>
      </c>
      <c r="N22" s="63">
        <v>1000000</v>
      </c>
      <c r="O22" s="64">
        <v>500000</v>
      </c>
      <c r="P22" s="64">
        <v>0</v>
      </c>
      <c r="Q22" s="64">
        <v>0</v>
      </c>
      <c r="R22" s="64">
        <v>0</v>
      </c>
      <c r="S22" s="254">
        <f t="shared" si="5"/>
        <v>2500000</v>
      </c>
    </row>
    <row r="23" spans="1:19" s="34" customFormat="1" ht="36.75" customHeight="1">
      <c r="A23" s="27" t="s">
        <v>69</v>
      </c>
      <c r="B23" s="67" t="s">
        <v>70</v>
      </c>
      <c r="C23" s="44" t="s">
        <v>71</v>
      </c>
      <c r="D23" s="59">
        <v>2012</v>
      </c>
      <c r="E23" s="59">
        <v>2023</v>
      </c>
      <c r="F23" s="60">
        <v>3000000</v>
      </c>
      <c r="G23" s="63"/>
      <c r="H23" s="62" t="s">
        <v>37</v>
      </c>
      <c r="I23" s="62" t="s">
        <v>37</v>
      </c>
      <c r="J23" s="62" t="s">
        <v>37</v>
      </c>
      <c r="K23" s="62" t="s">
        <v>37</v>
      </c>
      <c r="L23" s="62" t="s">
        <v>37</v>
      </c>
      <c r="M23" s="62" t="s">
        <v>37</v>
      </c>
      <c r="N23" s="62" t="s">
        <v>37</v>
      </c>
      <c r="O23" s="62" t="s">
        <v>37</v>
      </c>
      <c r="P23" s="64">
        <v>724000</v>
      </c>
      <c r="Q23" s="64">
        <v>1000000</v>
      </c>
      <c r="R23" s="64">
        <v>1200000</v>
      </c>
      <c r="S23" s="156">
        <f t="shared" si="5"/>
        <v>2924000</v>
      </c>
    </row>
    <row r="24" spans="1:19" s="42" customFormat="1" ht="51" customHeight="1">
      <c r="A24" s="27" t="s">
        <v>72</v>
      </c>
      <c r="B24" s="58" t="s">
        <v>73</v>
      </c>
      <c r="C24" s="44" t="s">
        <v>74</v>
      </c>
      <c r="D24" s="59">
        <v>2019</v>
      </c>
      <c r="E24" s="59">
        <v>2020</v>
      </c>
      <c r="F24" s="60">
        <v>600000</v>
      </c>
      <c r="G24" s="63"/>
      <c r="H24" s="62" t="s">
        <v>37</v>
      </c>
      <c r="I24" s="62" t="s">
        <v>37</v>
      </c>
      <c r="J24" s="62" t="s">
        <v>37</v>
      </c>
      <c r="K24" s="62" t="s">
        <v>37</v>
      </c>
      <c r="L24" s="62" t="s">
        <v>37</v>
      </c>
      <c r="M24" s="62" t="s">
        <v>37</v>
      </c>
      <c r="N24" s="64">
        <v>50000</v>
      </c>
      <c r="O24" s="64">
        <v>550000</v>
      </c>
      <c r="P24" s="62" t="s">
        <v>37</v>
      </c>
      <c r="Q24" s="62" t="s">
        <v>37</v>
      </c>
      <c r="R24" s="62" t="s">
        <v>37</v>
      </c>
      <c r="S24" s="26">
        <f t="shared" si="5"/>
        <v>600000</v>
      </c>
    </row>
    <row r="25" spans="1:19" s="34" customFormat="1" ht="44.25" customHeight="1">
      <c r="A25" s="27" t="s">
        <v>75</v>
      </c>
      <c r="B25" s="58" t="s">
        <v>76</v>
      </c>
      <c r="C25" s="44" t="s">
        <v>77</v>
      </c>
      <c r="D25" s="59">
        <v>2016</v>
      </c>
      <c r="E25" s="59">
        <v>2017</v>
      </c>
      <c r="F25" s="60">
        <v>600000</v>
      </c>
      <c r="G25" s="60" t="e">
        <f>SUM(#REF!)</f>
        <v>#REF!</v>
      </c>
      <c r="H25" s="62" t="s">
        <v>37</v>
      </c>
      <c r="I25" s="62" t="s">
        <v>37</v>
      </c>
      <c r="J25" s="64" t="s">
        <v>196</v>
      </c>
      <c r="K25" s="64">
        <v>50000</v>
      </c>
      <c r="L25" s="64">
        <v>550000</v>
      </c>
      <c r="M25" s="62">
        <v>0</v>
      </c>
      <c r="N25" s="62" t="s">
        <v>37</v>
      </c>
      <c r="O25" s="62" t="s">
        <v>37</v>
      </c>
      <c r="P25" s="62" t="s">
        <v>37</v>
      </c>
      <c r="Q25" s="62" t="s">
        <v>37</v>
      </c>
      <c r="R25" s="62" t="s">
        <v>37</v>
      </c>
      <c r="S25" s="26">
        <f t="shared" si="5"/>
        <v>600000</v>
      </c>
    </row>
    <row r="26" spans="1:19" s="42" customFormat="1" ht="48">
      <c r="A26" s="27" t="s">
        <v>78</v>
      </c>
      <c r="B26" s="58" t="s">
        <v>79</v>
      </c>
      <c r="C26" s="44" t="s">
        <v>80</v>
      </c>
      <c r="D26" s="59">
        <v>2021</v>
      </c>
      <c r="E26" s="59">
        <v>2022</v>
      </c>
      <c r="F26" s="60">
        <v>800000</v>
      </c>
      <c r="G26" s="63" t="e">
        <f>SUM(#REF!)</f>
        <v>#REF!</v>
      </c>
      <c r="H26" s="62" t="s">
        <v>37</v>
      </c>
      <c r="I26" s="62" t="s">
        <v>37</v>
      </c>
      <c r="J26" s="64">
        <v>0</v>
      </c>
      <c r="K26" s="62" t="s">
        <v>37</v>
      </c>
      <c r="L26" s="62" t="s">
        <v>37</v>
      </c>
      <c r="M26" s="62" t="s">
        <v>37</v>
      </c>
      <c r="N26" s="62" t="s">
        <v>37</v>
      </c>
      <c r="O26" s="62" t="s">
        <v>37</v>
      </c>
      <c r="P26" s="64">
        <v>400000</v>
      </c>
      <c r="Q26" s="64">
        <v>400000</v>
      </c>
      <c r="R26" s="62" t="s">
        <v>37</v>
      </c>
      <c r="S26" s="26">
        <f t="shared" si="5"/>
        <v>800000</v>
      </c>
    </row>
    <row r="27" spans="1:19" s="42" customFormat="1" ht="36">
      <c r="A27" s="27" t="s">
        <v>81</v>
      </c>
      <c r="B27" s="58" t="s">
        <v>82</v>
      </c>
      <c r="C27" s="44" t="s">
        <v>83</v>
      </c>
      <c r="D27" s="59">
        <v>2017</v>
      </c>
      <c r="E27" s="59">
        <v>2021</v>
      </c>
      <c r="F27" s="60">
        <v>1000000</v>
      </c>
      <c r="G27" s="63"/>
      <c r="H27" s="62"/>
      <c r="I27" s="62">
        <v>0</v>
      </c>
      <c r="J27" s="64" t="s">
        <v>196</v>
      </c>
      <c r="K27" s="64" t="s">
        <v>196</v>
      </c>
      <c r="L27" s="64">
        <v>200000</v>
      </c>
      <c r="M27" s="64">
        <v>200000</v>
      </c>
      <c r="N27" s="64">
        <v>200000</v>
      </c>
      <c r="O27" s="64">
        <v>200000</v>
      </c>
      <c r="P27" s="64">
        <v>200000</v>
      </c>
      <c r="Q27" s="62">
        <v>0</v>
      </c>
      <c r="R27" s="62">
        <v>0</v>
      </c>
      <c r="S27" s="26">
        <f t="shared" si="5"/>
        <v>1000000</v>
      </c>
    </row>
    <row r="28" spans="1:19" s="42" customFormat="1" ht="37.5" customHeight="1">
      <c r="A28" s="27" t="s">
        <v>84</v>
      </c>
      <c r="B28" s="58" t="s">
        <v>85</v>
      </c>
      <c r="C28" s="44" t="s">
        <v>86</v>
      </c>
      <c r="D28" s="59">
        <v>2022</v>
      </c>
      <c r="E28" s="59">
        <v>2023</v>
      </c>
      <c r="F28" s="60">
        <v>200000</v>
      </c>
      <c r="G28" s="63"/>
      <c r="H28" s="62">
        <v>0</v>
      </c>
      <c r="I28" s="62">
        <v>0</v>
      </c>
      <c r="J28" s="64">
        <v>0</v>
      </c>
      <c r="K28" s="64">
        <v>0</v>
      </c>
      <c r="L28" s="64">
        <v>0</v>
      </c>
      <c r="M28" s="62">
        <v>0</v>
      </c>
      <c r="N28" s="62">
        <v>0</v>
      </c>
      <c r="O28" s="62">
        <v>0</v>
      </c>
      <c r="P28" s="62">
        <v>0</v>
      </c>
      <c r="Q28" s="64">
        <v>50000</v>
      </c>
      <c r="R28" s="64">
        <v>150000</v>
      </c>
      <c r="S28" s="26">
        <f t="shared" si="5"/>
        <v>200000</v>
      </c>
    </row>
    <row r="29" spans="1:19" s="42" customFormat="1" ht="39" customHeight="1">
      <c r="A29" s="27" t="s">
        <v>87</v>
      </c>
      <c r="B29" s="58" t="s">
        <v>88</v>
      </c>
      <c r="C29" s="44" t="s">
        <v>89</v>
      </c>
      <c r="D29" s="59">
        <v>2022</v>
      </c>
      <c r="E29" s="59">
        <v>2023</v>
      </c>
      <c r="F29" s="60">
        <v>1500000</v>
      </c>
      <c r="G29" s="63"/>
      <c r="H29" s="62">
        <v>0</v>
      </c>
      <c r="I29" s="62">
        <v>0</v>
      </c>
      <c r="J29" s="64">
        <v>0</v>
      </c>
      <c r="K29" s="64">
        <v>0</v>
      </c>
      <c r="L29" s="64">
        <v>0</v>
      </c>
      <c r="M29" s="62">
        <v>0</v>
      </c>
      <c r="N29" s="62">
        <v>0</v>
      </c>
      <c r="O29" s="62">
        <v>0</v>
      </c>
      <c r="P29" s="62">
        <v>0</v>
      </c>
      <c r="Q29" s="64">
        <v>1000000</v>
      </c>
      <c r="R29" s="64">
        <v>500000</v>
      </c>
      <c r="S29" s="156">
        <f t="shared" si="5"/>
        <v>1500000</v>
      </c>
    </row>
    <row r="30" spans="1:19" s="42" customFormat="1" ht="36" customHeight="1">
      <c r="A30" s="27" t="s">
        <v>90</v>
      </c>
      <c r="B30" s="67" t="s">
        <v>91</v>
      </c>
      <c r="C30" s="44" t="s">
        <v>92</v>
      </c>
      <c r="D30" s="59">
        <v>2019</v>
      </c>
      <c r="E30" s="59">
        <v>2021</v>
      </c>
      <c r="F30" s="60">
        <v>2500000</v>
      </c>
      <c r="G30" s="63" t="e">
        <f>SUM(#REF!)</f>
        <v>#REF!</v>
      </c>
      <c r="H30" s="62" t="s">
        <v>37</v>
      </c>
      <c r="I30" s="62" t="s">
        <v>37</v>
      </c>
      <c r="J30" s="62" t="s">
        <v>37</v>
      </c>
      <c r="K30" s="62" t="s">
        <v>37</v>
      </c>
      <c r="L30" s="62" t="s">
        <v>37</v>
      </c>
      <c r="M30" s="62" t="s">
        <v>37</v>
      </c>
      <c r="N30" s="64">
        <v>426800</v>
      </c>
      <c r="O30" s="64">
        <v>1000000</v>
      </c>
      <c r="P30" s="64">
        <v>1000000</v>
      </c>
      <c r="Q30" s="62" t="s">
        <v>37</v>
      </c>
      <c r="R30" s="62" t="s">
        <v>37</v>
      </c>
      <c r="S30" s="26">
        <f t="shared" si="5"/>
        <v>2426800</v>
      </c>
    </row>
    <row r="31" spans="1:19" s="42" customFormat="1" ht="36">
      <c r="A31" s="27" t="s">
        <v>93</v>
      </c>
      <c r="B31" s="68" t="s">
        <v>94</v>
      </c>
      <c r="C31" s="69" t="s">
        <v>95</v>
      </c>
      <c r="D31" s="45">
        <v>2018</v>
      </c>
      <c r="E31" s="45">
        <v>2019</v>
      </c>
      <c r="F31" s="46">
        <v>625000</v>
      </c>
      <c r="G31" s="32" t="e">
        <f>SUM(#REF!)</f>
        <v>#REF!</v>
      </c>
      <c r="H31" s="31" t="s">
        <v>37</v>
      </c>
      <c r="I31" s="31" t="s">
        <v>37</v>
      </c>
      <c r="J31" s="31" t="s">
        <v>37</v>
      </c>
      <c r="K31" s="31" t="s">
        <v>37</v>
      </c>
      <c r="L31" s="31" t="s">
        <v>37</v>
      </c>
      <c r="M31" s="33">
        <v>75000</v>
      </c>
      <c r="N31" s="33">
        <v>550000</v>
      </c>
      <c r="O31" s="62" t="s">
        <v>37</v>
      </c>
      <c r="P31" s="62" t="s">
        <v>37</v>
      </c>
      <c r="Q31" s="62" t="s">
        <v>37</v>
      </c>
      <c r="R31" s="62" t="s">
        <v>37</v>
      </c>
      <c r="S31" s="26">
        <f t="shared" si="5"/>
        <v>625000</v>
      </c>
    </row>
    <row r="32" spans="1:19" s="34" customFormat="1" ht="36">
      <c r="A32" s="27" t="s">
        <v>96</v>
      </c>
      <c r="B32" s="67" t="s">
        <v>97</v>
      </c>
      <c r="C32" s="44" t="s">
        <v>98</v>
      </c>
      <c r="D32" s="59">
        <v>2015</v>
      </c>
      <c r="E32" s="59">
        <v>2016</v>
      </c>
      <c r="F32" s="60">
        <v>300000</v>
      </c>
      <c r="G32" s="63" t="e">
        <f>SUM(#REF!)</f>
        <v>#REF!</v>
      </c>
      <c r="H32" s="62" t="s">
        <v>37</v>
      </c>
      <c r="I32" s="62" t="s">
        <v>37</v>
      </c>
      <c r="J32" s="64">
        <v>50000</v>
      </c>
      <c r="K32" s="64">
        <v>227430</v>
      </c>
      <c r="L32" s="62" t="s">
        <v>37</v>
      </c>
      <c r="M32" s="62" t="s">
        <v>37</v>
      </c>
      <c r="N32" s="62" t="s">
        <v>37</v>
      </c>
      <c r="O32" s="62" t="s">
        <v>37</v>
      </c>
      <c r="P32" s="62" t="s">
        <v>37</v>
      </c>
      <c r="Q32" s="62" t="s">
        <v>37</v>
      </c>
      <c r="R32" s="62" t="s">
        <v>37</v>
      </c>
      <c r="S32" s="26">
        <f t="shared" si="5"/>
        <v>277430</v>
      </c>
    </row>
    <row r="33" spans="1:19" s="34" customFormat="1" ht="36">
      <c r="A33" s="27" t="s">
        <v>99</v>
      </c>
      <c r="B33" s="58" t="s">
        <v>100</v>
      </c>
      <c r="C33" s="44" t="s">
        <v>101</v>
      </c>
      <c r="D33" s="59">
        <v>2013</v>
      </c>
      <c r="E33" s="59">
        <v>2014</v>
      </c>
      <c r="F33" s="60">
        <v>128027</v>
      </c>
      <c r="G33" s="63"/>
      <c r="H33" s="62">
        <v>0</v>
      </c>
      <c r="I33" s="64">
        <v>128027</v>
      </c>
      <c r="J33" s="64">
        <v>0</v>
      </c>
      <c r="K33" s="64">
        <v>0</v>
      </c>
      <c r="L33" s="62">
        <v>0</v>
      </c>
      <c r="M33" s="62">
        <v>0</v>
      </c>
      <c r="N33" s="62">
        <v>0</v>
      </c>
      <c r="O33" s="62" t="s">
        <v>37</v>
      </c>
      <c r="P33" s="62" t="s">
        <v>37</v>
      </c>
      <c r="Q33" s="62" t="s">
        <v>37</v>
      </c>
      <c r="R33" s="62" t="s">
        <v>37</v>
      </c>
      <c r="S33" s="26">
        <f t="shared" si="5"/>
        <v>128027</v>
      </c>
    </row>
    <row r="34" spans="1:19" s="42" customFormat="1" ht="36.75" customHeight="1">
      <c r="A34" s="27" t="s">
        <v>102</v>
      </c>
      <c r="B34" s="67" t="s">
        <v>103</v>
      </c>
      <c r="C34" s="44" t="s">
        <v>104</v>
      </c>
      <c r="D34" s="59">
        <v>2021</v>
      </c>
      <c r="E34" s="59">
        <v>2022</v>
      </c>
      <c r="F34" s="60">
        <v>1500000</v>
      </c>
      <c r="G34" s="63" t="e">
        <f>SUM(#REF!)</f>
        <v>#REF!</v>
      </c>
      <c r="H34" s="62" t="s">
        <v>37</v>
      </c>
      <c r="I34" s="62" t="s">
        <v>37</v>
      </c>
      <c r="J34" s="62" t="s">
        <v>37</v>
      </c>
      <c r="K34" s="64">
        <v>0</v>
      </c>
      <c r="L34" s="64">
        <v>0</v>
      </c>
      <c r="M34" s="64">
        <v>0</v>
      </c>
      <c r="N34" s="62">
        <v>0</v>
      </c>
      <c r="O34" s="62" t="s">
        <v>37</v>
      </c>
      <c r="P34" s="64">
        <v>500000</v>
      </c>
      <c r="Q34" s="64">
        <v>1000000</v>
      </c>
      <c r="R34" s="62" t="s">
        <v>37</v>
      </c>
      <c r="S34" s="26">
        <f t="shared" si="5"/>
        <v>1500000</v>
      </c>
    </row>
    <row r="35" spans="1:19" s="42" customFormat="1" ht="36.75" customHeight="1">
      <c r="A35" s="27" t="s">
        <v>105</v>
      </c>
      <c r="B35" s="67" t="s">
        <v>106</v>
      </c>
      <c r="C35" s="44" t="s">
        <v>107</v>
      </c>
      <c r="D35" s="59">
        <v>2022</v>
      </c>
      <c r="E35" s="59">
        <v>2023</v>
      </c>
      <c r="F35" s="60">
        <v>1200000</v>
      </c>
      <c r="G35" s="63" t="e">
        <f>SUM(#REF!)</f>
        <v>#REF!</v>
      </c>
      <c r="H35" s="62" t="s">
        <v>37</v>
      </c>
      <c r="I35" s="62" t="s">
        <v>37</v>
      </c>
      <c r="J35" s="62" t="s">
        <v>37</v>
      </c>
      <c r="K35" s="64">
        <v>0</v>
      </c>
      <c r="L35" s="64">
        <v>0</v>
      </c>
      <c r="M35" s="62" t="s">
        <v>37</v>
      </c>
      <c r="N35" s="62" t="s">
        <v>37</v>
      </c>
      <c r="O35" s="62" t="s">
        <v>37</v>
      </c>
      <c r="P35" s="62" t="s">
        <v>37</v>
      </c>
      <c r="Q35" s="64">
        <v>200000</v>
      </c>
      <c r="R35" s="64">
        <v>1000000</v>
      </c>
      <c r="S35" s="26">
        <f t="shared" si="5"/>
        <v>1200000</v>
      </c>
    </row>
    <row r="36" spans="1:19" s="42" customFormat="1" ht="36.75" customHeight="1">
      <c r="A36" s="70" t="s">
        <v>108</v>
      </c>
      <c r="B36" s="66" t="s">
        <v>109</v>
      </c>
      <c r="C36" s="51" t="s">
        <v>110</v>
      </c>
      <c r="D36" s="71">
        <v>2014</v>
      </c>
      <c r="E36" s="71">
        <v>2019</v>
      </c>
      <c r="F36" s="72">
        <v>300000</v>
      </c>
      <c r="G36" s="73"/>
      <c r="H36" s="56" t="s">
        <v>37</v>
      </c>
      <c r="I36" s="74">
        <v>40000</v>
      </c>
      <c r="J36" s="74">
        <v>50000</v>
      </c>
      <c r="K36" s="74">
        <v>50000</v>
      </c>
      <c r="L36" s="74">
        <v>50000</v>
      </c>
      <c r="M36" s="74">
        <v>50000</v>
      </c>
      <c r="N36" s="74">
        <v>60000</v>
      </c>
      <c r="O36" s="56">
        <v>0</v>
      </c>
      <c r="P36" s="56">
        <v>0</v>
      </c>
      <c r="Q36" s="76">
        <v>0</v>
      </c>
      <c r="R36" s="56">
        <v>0</v>
      </c>
      <c r="S36" s="26">
        <f t="shared" si="5"/>
        <v>300000</v>
      </c>
    </row>
    <row r="37" spans="1:19" s="42" customFormat="1" ht="36">
      <c r="A37" s="27" t="s">
        <v>111</v>
      </c>
      <c r="B37" s="58" t="s">
        <v>112</v>
      </c>
      <c r="C37" s="44" t="s">
        <v>113</v>
      </c>
      <c r="D37" s="59">
        <v>2021</v>
      </c>
      <c r="E37" s="59">
        <v>2023</v>
      </c>
      <c r="F37" s="60">
        <v>3000000</v>
      </c>
      <c r="G37" s="63"/>
      <c r="H37" s="62" t="s">
        <v>37</v>
      </c>
      <c r="I37" s="62" t="s">
        <v>37</v>
      </c>
      <c r="J37" s="62" t="s">
        <v>37</v>
      </c>
      <c r="K37" s="62" t="s">
        <v>37</v>
      </c>
      <c r="L37" s="62" t="s">
        <v>37</v>
      </c>
      <c r="M37" s="62" t="s">
        <v>37</v>
      </c>
      <c r="N37" s="62" t="s">
        <v>37</v>
      </c>
      <c r="O37" s="64">
        <v>0</v>
      </c>
      <c r="P37" s="64">
        <v>500000</v>
      </c>
      <c r="Q37" s="64">
        <v>1000000</v>
      </c>
      <c r="R37" s="64">
        <v>1500000</v>
      </c>
      <c r="S37" s="156">
        <f t="shared" si="5"/>
        <v>3000000</v>
      </c>
    </row>
    <row r="38" spans="1:19" s="42" customFormat="1" ht="48.75" thickBot="1">
      <c r="A38" s="248" t="s">
        <v>114</v>
      </c>
      <c r="B38" s="77" t="s">
        <v>115</v>
      </c>
      <c r="C38" s="78" t="s">
        <v>116</v>
      </c>
      <c r="D38" s="79">
        <v>2021</v>
      </c>
      <c r="E38" s="80">
        <v>2022</v>
      </c>
      <c r="F38" s="81">
        <v>100000</v>
      </c>
      <c r="G38" s="82"/>
      <c r="H38" s="83"/>
      <c r="I38" s="56" t="s">
        <v>37</v>
      </c>
      <c r="J38" s="56" t="s">
        <v>37</v>
      </c>
      <c r="K38" s="56" t="s">
        <v>37</v>
      </c>
      <c r="L38" s="84"/>
      <c r="M38" s="84"/>
      <c r="N38" s="56" t="s">
        <v>37</v>
      </c>
      <c r="O38" s="56" t="s">
        <v>37</v>
      </c>
      <c r="P38" s="84">
        <v>50000</v>
      </c>
      <c r="Q38" s="84">
        <v>50000</v>
      </c>
      <c r="R38" s="56" t="s">
        <v>37</v>
      </c>
      <c r="S38" s="26">
        <f t="shared" si="5"/>
        <v>100000</v>
      </c>
    </row>
    <row r="39" spans="1:19" s="85" customFormat="1" ht="33" customHeight="1" thickBot="1">
      <c r="A39" s="132" t="s">
        <v>4</v>
      </c>
      <c r="B39" s="491" t="s">
        <v>117</v>
      </c>
      <c r="C39" s="491"/>
      <c r="D39" s="491"/>
      <c r="E39" s="491"/>
      <c r="F39" s="133">
        <f t="shared" ref="F39:Q39" si="8">SUM(F40:F41)</f>
        <v>0</v>
      </c>
      <c r="G39" s="138">
        <f t="shared" si="8"/>
        <v>0</v>
      </c>
      <c r="H39" s="138">
        <f t="shared" si="8"/>
        <v>0</v>
      </c>
      <c r="I39" s="138">
        <f t="shared" si="8"/>
        <v>0</v>
      </c>
      <c r="J39" s="138">
        <f t="shared" si="8"/>
        <v>0</v>
      </c>
      <c r="K39" s="138">
        <f t="shared" si="8"/>
        <v>0</v>
      </c>
      <c r="L39" s="138">
        <f t="shared" si="8"/>
        <v>0</v>
      </c>
      <c r="M39" s="138">
        <f t="shared" si="8"/>
        <v>0</v>
      </c>
      <c r="N39" s="138">
        <f t="shared" si="8"/>
        <v>0</v>
      </c>
      <c r="O39" s="138">
        <f t="shared" si="8"/>
        <v>0</v>
      </c>
      <c r="P39" s="138">
        <f t="shared" si="8"/>
        <v>0</v>
      </c>
      <c r="Q39" s="138">
        <f t="shared" si="8"/>
        <v>0</v>
      </c>
      <c r="R39" s="138"/>
      <c r="S39" s="139">
        <v>0</v>
      </c>
    </row>
    <row r="40" spans="1:19" s="85" customFormat="1">
      <c r="A40" s="140" t="s">
        <v>5</v>
      </c>
      <c r="B40" s="504" t="s">
        <v>30</v>
      </c>
      <c r="C40" s="504"/>
      <c r="D40" s="504"/>
      <c r="E40" s="504"/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247">
        <v>0</v>
      </c>
    </row>
    <row r="41" spans="1:19" s="85" customFormat="1" ht="15" thickBot="1">
      <c r="A41" s="135" t="s">
        <v>6</v>
      </c>
      <c r="B41" s="505" t="s">
        <v>32</v>
      </c>
      <c r="C41" s="506"/>
      <c r="D41" s="506"/>
      <c r="E41" s="507"/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41">
        <v>0</v>
      </c>
      <c r="S41" s="142">
        <v>0</v>
      </c>
    </row>
    <row r="42" spans="1:19" s="85" customFormat="1" ht="15" hidden="1" thickBot="1">
      <c r="A42" s="495"/>
      <c r="B42" s="143" t="s">
        <v>118</v>
      </c>
      <c r="C42" s="498"/>
      <c r="D42" s="501"/>
      <c r="E42" s="501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95"/>
      <c r="R42" s="95"/>
      <c r="S42" s="492"/>
    </row>
    <row r="43" spans="1:19" s="85" customFormat="1" ht="15" hidden="1" thickBot="1">
      <c r="A43" s="495"/>
      <c r="B43" s="145" t="s">
        <v>30</v>
      </c>
      <c r="C43" s="498"/>
      <c r="D43" s="501"/>
      <c r="E43" s="501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492"/>
    </row>
    <row r="44" spans="1:19" s="85" customFormat="1" ht="15" hidden="1" thickBot="1">
      <c r="A44" s="496"/>
      <c r="B44" s="145" t="s">
        <v>32</v>
      </c>
      <c r="C44" s="499"/>
      <c r="D44" s="502"/>
      <c r="E44" s="502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7"/>
      <c r="R44" s="147"/>
      <c r="S44" s="493"/>
    </row>
    <row r="45" spans="1:19" s="85" customFormat="1" ht="15" hidden="1" thickBot="1">
      <c r="A45" s="494"/>
      <c r="B45" s="148" t="s">
        <v>118</v>
      </c>
      <c r="C45" s="497"/>
      <c r="D45" s="500"/>
      <c r="E45" s="500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55"/>
      <c r="R45" s="55"/>
      <c r="S45" s="503"/>
    </row>
    <row r="46" spans="1:19" s="85" customFormat="1" ht="15" hidden="1" thickBot="1">
      <c r="A46" s="495"/>
      <c r="B46" s="145" t="s">
        <v>30</v>
      </c>
      <c r="C46" s="498"/>
      <c r="D46" s="501"/>
      <c r="E46" s="501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492"/>
    </row>
    <row r="47" spans="1:19" s="85" customFormat="1" ht="15" hidden="1" thickBot="1">
      <c r="A47" s="496"/>
      <c r="B47" s="145" t="s">
        <v>32</v>
      </c>
      <c r="C47" s="499"/>
      <c r="D47" s="502"/>
      <c r="E47" s="502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7"/>
      <c r="R47" s="147"/>
      <c r="S47" s="493"/>
    </row>
    <row r="48" spans="1:19" s="85" customFormat="1" ht="15" hidden="1" thickBot="1">
      <c r="A48" s="494"/>
      <c r="B48" s="148" t="s">
        <v>119</v>
      </c>
      <c r="C48" s="497"/>
      <c r="D48" s="500"/>
      <c r="E48" s="500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55"/>
      <c r="R48" s="55"/>
      <c r="S48" s="503"/>
    </row>
    <row r="49" spans="1:20" s="85" customFormat="1" ht="15" hidden="1" thickBot="1">
      <c r="A49" s="495"/>
      <c r="B49" s="145"/>
      <c r="C49" s="498"/>
      <c r="D49" s="501"/>
      <c r="E49" s="501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492"/>
    </row>
    <row r="50" spans="1:20" s="85" customFormat="1" ht="15" hidden="1" thickBot="1">
      <c r="A50" s="495"/>
      <c r="B50" s="150"/>
      <c r="C50" s="498"/>
      <c r="D50" s="501"/>
      <c r="E50" s="50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95"/>
      <c r="R50" s="95"/>
      <c r="S50" s="492"/>
    </row>
    <row r="51" spans="1:20" s="86" customFormat="1" ht="28.5" customHeight="1" thickBot="1">
      <c r="A51" s="132" t="s">
        <v>120</v>
      </c>
      <c r="B51" s="491" t="s">
        <v>121</v>
      </c>
      <c r="C51" s="491"/>
      <c r="D51" s="491"/>
      <c r="E51" s="491"/>
      <c r="F51" s="133">
        <f>F52+F63</f>
        <v>18342698</v>
      </c>
      <c r="G51" s="133">
        <f t="shared" ref="G51:S51" si="9">G52+G63</f>
        <v>0</v>
      </c>
      <c r="H51" s="133">
        <f t="shared" si="9"/>
        <v>1349733</v>
      </c>
      <c r="I51" s="133">
        <f t="shared" si="9"/>
        <v>1225035</v>
      </c>
      <c r="J51" s="133">
        <f t="shared" si="9"/>
        <v>1906628</v>
      </c>
      <c r="K51" s="133">
        <f t="shared" si="9"/>
        <v>2019187</v>
      </c>
      <c r="L51" s="133">
        <f t="shared" si="9"/>
        <v>1892981</v>
      </c>
      <c r="M51" s="133">
        <f t="shared" si="9"/>
        <v>1209000</v>
      </c>
      <c r="N51" s="133">
        <f t="shared" si="9"/>
        <v>1261000</v>
      </c>
      <c r="O51" s="133">
        <f t="shared" si="9"/>
        <v>1350500</v>
      </c>
      <c r="P51" s="133">
        <f t="shared" si="9"/>
        <v>1477000</v>
      </c>
      <c r="Q51" s="133">
        <f t="shared" si="9"/>
        <v>977000</v>
      </c>
      <c r="R51" s="133">
        <f t="shared" si="9"/>
        <v>977000</v>
      </c>
      <c r="S51" s="134">
        <f t="shared" si="9"/>
        <v>14295331</v>
      </c>
    </row>
    <row r="52" spans="1:20" s="88" customFormat="1" ht="15" thickBot="1">
      <c r="A52" s="152" t="s">
        <v>122</v>
      </c>
      <c r="B52" s="483" t="s">
        <v>30</v>
      </c>
      <c r="C52" s="483"/>
      <c r="D52" s="483"/>
      <c r="E52" s="483"/>
      <c r="F52" s="153">
        <f t="shared" ref="F52:H52" si="10">SUM(F53:F62)</f>
        <v>625000</v>
      </c>
      <c r="G52" s="153">
        <f t="shared" si="10"/>
        <v>0</v>
      </c>
      <c r="H52" s="153">
        <f t="shared" si="10"/>
        <v>0</v>
      </c>
      <c r="I52" s="153">
        <f>SUM(I53:I62)</f>
        <v>5000</v>
      </c>
      <c r="J52" s="153">
        <f t="shared" ref="J52:S52" si="11">SUM(J53:J62)</f>
        <v>70000</v>
      </c>
      <c r="K52" s="153">
        <f t="shared" si="11"/>
        <v>139000</v>
      </c>
      <c r="L52" s="153">
        <f t="shared" si="11"/>
        <v>139000</v>
      </c>
      <c r="M52" s="153">
        <f t="shared" si="11"/>
        <v>139000</v>
      </c>
      <c r="N52" s="153">
        <f t="shared" si="11"/>
        <v>41000</v>
      </c>
      <c r="O52" s="153">
        <f t="shared" si="11"/>
        <v>41000</v>
      </c>
      <c r="P52" s="153">
        <f t="shared" si="11"/>
        <v>17000</v>
      </c>
      <c r="Q52" s="153">
        <f t="shared" si="11"/>
        <v>17000</v>
      </c>
      <c r="R52" s="164">
        <f t="shared" si="11"/>
        <v>17000</v>
      </c>
      <c r="S52" s="155">
        <f t="shared" si="11"/>
        <v>625000</v>
      </c>
      <c r="T52" s="87"/>
    </row>
    <row r="53" spans="1:20" s="85" customFormat="1" ht="120">
      <c r="A53" s="166" t="s">
        <v>123</v>
      </c>
      <c r="B53" s="161" t="s">
        <v>124</v>
      </c>
      <c r="C53" s="112" t="s">
        <v>125</v>
      </c>
      <c r="D53" s="162">
        <v>2015</v>
      </c>
      <c r="E53" s="162">
        <v>2023</v>
      </c>
      <c r="F53" s="163">
        <v>100000</v>
      </c>
      <c r="G53" s="147"/>
      <c r="H53" s="147"/>
      <c r="I53" s="169" t="s">
        <v>196</v>
      </c>
      <c r="J53" s="147">
        <v>10000</v>
      </c>
      <c r="K53" s="147">
        <v>10000</v>
      </c>
      <c r="L53" s="147">
        <v>10000</v>
      </c>
      <c r="M53" s="147">
        <v>10000</v>
      </c>
      <c r="N53" s="147">
        <v>12000</v>
      </c>
      <c r="O53" s="147">
        <v>12000</v>
      </c>
      <c r="P53" s="147">
        <v>12000</v>
      </c>
      <c r="Q53" s="147">
        <v>12000</v>
      </c>
      <c r="R53" s="147">
        <v>12000</v>
      </c>
      <c r="S53" s="167">
        <f t="shared" ref="S53:S62" si="12">SUM(I53:R53)</f>
        <v>100000</v>
      </c>
    </row>
    <row r="54" spans="1:20" s="85" customFormat="1" ht="72">
      <c r="A54" s="157" t="s">
        <v>126</v>
      </c>
      <c r="B54" s="89" t="s">
        <v>127</v>
      </c>
      <c r="C54" s="44" t="s">
        <v>128</v>
      </c>
      <c r="D54" s="90">
        <v>2015</v>
      </c>
      <c r="E54" s="90">
        <v>2018</v>
      </c>
      <c r="F54" s="91">
        <v>200000</v>
      </c>
      <c r="G54" s="92"/>
      <c r="H54" s="92"/>
      <c r="I54" s="169" t="s">
        <v>196</v>
      </c>
      <c r="J54" s="92">
        <v>25000</v>
      </c>
      <c r="K54" s="74">
        <v>25000</v>
      </c>
      <c r="L54" s="92">
        <v>50000</v>
      </c>
      <c r="M54" s="92">
        <v>100000</v>
      </c>
      <c r="N54" s="56" t="s">
        <v>37</v>
      </c>
      <c r="O54" s="56" t="s">
        <v>37</v>
      </c>
      <c r="P54" s="56" t="s">
        <v>37</v>
      </c>
      <c r="Q54" s="56" t="s">
        <v>37</v>
      </c>
      <c r="R54" s="56" t="s">
        <v>37</v>
      </c>
      <c r="S54" s="26">
        <f t="shared" si="12"/>
        <v>200000</v>
      </c>
    </row>
    <row r="55" spans="1:20" s="85" customFormat="1" ht="48">
      <c r="A55" s="157" t="s">
        <v>129</v>
      </c>
      <c r="B55" s="93" t="s">
        <v>130</v>
      </c>
      <c r="C55" s="51" t="s">
        <v>131</v>
      </c>
      <c r="D55" s="94">
        <v>2014</v>
      </c>
      <c r="E55" s="94">
        <v>2023</v>
      </c>
      <c r="F55" s="54">
        <v>50000</v>
      </c>
      <c r="G55" s="55"/>
      <c r="H55" s="55"/>
      <c r="I55" s="55">
        <v>5000</v>
      </c>
      <c r="J55" s="55">
        <v>5000</v>
      </c>
      <c r="K55" s="55">
        <v>5000</v>
      </c>
      <c r="L55" s="55">
        <v>5000</v>
      </c>
      <c r="M55" s="55">
        <v>5000</v>
      </c>
      <c r="N55" s="55">
        <v>5000</v>
      </c>
      <c r="O55" s="55">
        <v>5000</v>
      </c>
      <c r="P55" s="55">
        <v>5000</v>
      </c>
      <c r="Q55" s="55">
        <v>5000</v>
      </c>
      <c r="R55" s="55">
        <v>5000</v>
      </c>
      <c r="S55" s="26">
        <f t="shared" si="12"/>
        <v>50000</v>
      </c>
    </row>
    <row r="56" spans="1:20" s="85" customFormat="1" ht="36">
      <c r="A56" s="157" t="s">
        <v>132</v>
      </c>
      <c r="B56" s="89" t="s">
        <v>133</v>
      </c>
      <c r="C56" s="44" t="s">
        <v>134</v>
      </c>
      <c r="D56" s="90">
        <v>2015</v>
      </c>
      <c r="E56" s="90">
        <v>2016</v>
      </c>
      <c r="F56" s="91">
        <v>50000</v>
      </c>
      <c r="G56" s="92"/>
      <c r="H56" s="92"/>
      <c r="I56" s="169" t="s">
        <v>196</v>
      </c>
      <c r="J56" s="92">
        <v>20000</v>
      </c>
      <c r="K56" s="92">
        <v>30000</v>
      </c>
      <c r="L56" s="56" t="s">
        <v>37</v>
      </c>
      <c r="M56" s="56" t="s">
        <v>37</v>
      </c>
      <c r="N56" s="56" t="s">
        <v>37</v>
      </c>
      <c r="O56" s="56" t="s">
        <v>37</v>
      </c>
      <c r="P56" s="56" t="s">
        <v>37</v>
      </c>
      <c r="Q56" s="56" t="s">
        <v>37</v>
      </c>
      <c r="R56" s="56" t="s">
        <v>37</v>
      </c>
      <c r="S56" s="26">
        <f t="shared" si="12"/>
        <v>50000</v>
      </c>
    </row>
    <row r="57" spans="1:20" s="85" customFormat="1" ht="36">
      <c r="A57" s="157" t="s">
        <v>135</v>
      </c>
      <c r="B57" s="43" t="s">
        <v>45</v>
      </c>
      <c r="C57" s="44" t="s">
        <v>46</v>
      </c>
      <c r="D57" s="45">
        <v>2015</v>
      </c>
      <c r="E57" s="45">
        <v>2020</v>
      </c>
      <c r="F57" s="46">
        <v>30000</v>
      </c>
      <c r="G57" s="47"/>
      <c r="H57" s="47"/>
      <c r="I57" s="48" t="s">
        <v>37</v>
      </c>
      <c r="J57" s="47">
        <v>5000</v>
      </c>
      <c r="K57" s="47">
        <v>5000</v>
      </c>
      <c r="L57" s="47">
        <v>5000</v>
      </c>
      <c r="M57" s="47">
        <v>5000</v>
      </c>
      <c r="N57" s="47">
        <v>5000</v>
      </c>
      <c r="O57" s="47">
        <v>5000</v>
      </c>
      <c r="P57" s="31" t="s">
        <v>37</v>
      </c>
      <c r="Q57" s="31" t="s">
        <v>37</v>
      </c>
      <c r="R57" s="31" t="s">
        <v>37</v>
      </c>
      <c r="S57" s="26">
        <f t="shared" si="12"/>
        <v>30000</v>
      </c>
    </row>
    <row r="58" spans="1:20" s="85" customFormat="1" ht="96">
      <c r="A58" s="157" t="s">
        <v>138</v>
      </c>
      <c r="B58" s="49" t="s">
        <v>47</v>
      </c>
      <c r="C58" s="44" t="s">
        <v>48</v>
      </c>
      <c r="D58" s="45">
        <v>2016</v>
      </c>
      <c r="E58" s="45">
        <v>2020</v>
      </c>
      <c r="F58" s="46">
        <v>15000</v>
      </c>
      <c r="G58" s="32"/>
      <c r="H58" s="32"/>
      <c r="I58" s="31" t="s">
        <v>37</v>
      </c>
      <c r="J58" s="31" t="s">
        <v>37</v>
      </c>
      <c r="K58" s="33">
        <v>3000</v>
      </c>
      <c r="L58" s="33">
        <v>3000</v>
      </c>
      <c r="M58" s="33">
        <v>3000</v>
      </c>
      <c r="N58" s="33">
        <v>3000</v>
      </c>
      <c r="O58" s="33">
        <v>3000</v>
      </c>
      <c r="P58" s="31" t="s">
        <v>37</v>
      </c>
      <c r="Q58" s="31" t="s">
        <v>37</v>
      </c>
      <c r="R58" s="31" t="s">
        <v>37</v>
      </c>
      <c r="S58" s="26">
        <f t="shared" si="12"/>
        <v>15000</v>
      </c>
    </row>
    <row r="59" spans="1:20" s="85" customFormat="1" ht="96">
      <c r="A59" s="157" t="s">
        <v>190</v>
      </c>
      <c r="B59" s="49" t="s">
        <v>49</v>
      </c>
      <c r="C59" s="44" t="s">
        <v>50</v>
      </c>
      <c r="D59" s="45">
        <v>2016</v>
      </c>
      <c r="E59" s="45">
        <v>2020</v>
      </c>
      <c r="F59" s="46">
        <v>15000</v>
      </c>
      <c r="G59" s="32"/>
      <c r="H59" s="32"/>
      <c r="I59" s="31" t="s">
        <v>37</v>
      </c>
      <c r="J59" s="31" t="s">
        <v>37</v>
      </c>
      <c r="K59" s="33">
        <v>3000</v>
      </c>
      <c r="L59" s="33">
        <v>3000</v>
      </c>
      <c r="M59" s="33">
        <v>3000</v>
      </c>
      <c r="N59" s="33">
        <v>3000</v>
      </c>
      <c r="O59" s="33">
        <v>3000</v>
      </c>
      <c r="P59" s="31" t="s">
        <v>37</v>
      </c>
      <c r="Q59" s="31" t="s">
        <v>37</v>
      </c>
      <c r="R59" s="31" t="s">
        <v>37</v>
      </c>
      <c r="S59" s="156">
        <f t="shared" si="12"/>
        <v>15000</v>
      </c>
    </row>
    <row r="60" spans="1:20" s="85" customFormat="1" ht="108">
      <c r="A60" s="165" t="s">
        <v>191</v>
      </c>
      <c r="B60" s="50" t="s">
        <v>51</v>
      </c>
      <c r="C60" s="51" t="s">
        <v>52</v>
      </c>
      <c r="D60" s="37">
        <v>2016</v>
      </c>
      <c r="E60" s="37">
        <v>2020</v>
      </c>
      <c r="F60" s="52">
        <v>15000</v>
      </c>
      <c r="G60" s="47"/>
      <c r="H60" s="47"/>
      <c r="I60" s="48" t="s">
        <v>37</v>
      </c>
      <c r="J60" s="48" t="s">
        <v>37</v>
      </c>
      <c r="K60" s="53">
        <v>3000</v>
      </c>
      <c r="L60" s="53">
        <v>3000</v>
      </c>
      <c r="M60" s="53">
        <v>3000</v>
      </c>
      <c r="N60" s="53">
        <v>3000</v>
      </c>
      <c r="O60" s="53">
        <v>3000</v>
      </c>
      <c r="P60" s="48" t="s">
        <v>37</v>
      </c>
      <c r="Q60" s="48" t="s">
        <v>37</v>
      </c>
      <c r="R60" s="48" t="s">
        <v>37</v>
      </c>
      <c r="S60" s="26">
        <f t="shared" si="12"/>
        <v>15000</v>
      </c>
    </row>
    <row r="61" spans="1:20" s="85" customFormat="1" ht="36">
      <c r="A61" s="157" t="s">
        <v>192</v>
      </c>
      <c r="B61" s="89" t="s">
        <v>136</v>
      </c>
      <c r="C61" s="44" t="s">
        <v>137</v>
      </c>
      <c r="D61" s="90">
        <v>2016</v>
      </c>
      <c r="E61" s="90">
        <v>2017</v>
      </c>
      <c r="F61" s="91">
        <v>100000</v>
      </c>
      <c r="G61" s="92"/>
      <c r="H61" s="92"/>
      <c r="I61" s="62" t="s">
        <v>37</v>
      </c>
      <c r="J61" s="62" t="s">
        <v>37</v>
      </c>
      <c r="K61" s="92">
        <v>50000</v>
      </c>
      <c r="L61" s="64">
        <v>50000</v>
      </c>
      <c r="M61" s="62" t="s">
        <v>37</v>
      </c>
      <c r="N61" s="62" t="s">
        <v>37</v>
      </c>
      <c r="O61" s="62" t="s">
        <v>37</v>
      </c>
      <c r="P61" s="62" t="s">
        <v>37</v>
      </c>
      <c r="Q61" s="62" t="s">
        <v>37</v>
      </c>
      <c r="R61" s="62" t="s">
        <v>37</v>
      </c>
      <c r="S61" s="156">
        <f t="shared" si="12"/>
        <v>100000</v>
      </c>
    </row>
    <row r="62" spans="1:20" s="85" customFormat="1" ht="36.75" thickBot="1">
      <c r="A62" s="165" t="s">
        <v>193</v>
      </c>
      <c r="B62" s="251" t="s">
        <v>139</v>
      </c>
      <c r="C62" s="51" t="s">
        <v>140</v>
      </c>
      <c r="D62" s="252">
        <v>2015</v>
      </c>
      <c r="E62" s="252">
        <v>2019</v>
      </c>
      <c r="F62" s="54">
        <v>50000</v>
      </c>
      <c r="G62" s="55"/>
      <c r="H62" s="55"/>
      <c r="I62" s="56" t="s">
        <v>37</v>
      </c>
      <c r="J62" s="74">
        <v>5000</v>
      </c>
      <c r="K62" s="74">
        <v>5000</v>
      </c>
      <c r="L62" s="74">
        <v>10000</v>
      </c>
      <c r="M62" s="74">
        <v>10000</v>
      </c>
      <c r="N62" s="74">
        <v>10000</v>
      </c>
      <c r="O62" s="74">
        <v>10000</v>
      </c>
      <c r="P62" s="56" t="s">
        <v>37</v>
      </c>
      <c r="Q62" s="56" t="s">
        <v>37</v>
      </c>
      <c r="R62" s="56" t="s">
        <v>37</v>
      </c>
      <c r="S62" s="26">
        <f t="shared" si="12"/>
        <v>50000</v>
      </c>
    </row>
    <row r="63" spans="1:20" s="88" customFormat="1" ht="15" thickBot="1">
      <c r="A63" s="152" t="s">
        <v>141</v>
      </c>
      <c r="B63" s="483" t="s">
        <v>32</v>
      </c>
      <c r="C63" s="483"/>
      <c r="D63" s="483"/>
      <c r="E63" s="483"/>
      <c r="F63" s="153">
        <f t="shared" ref="F63:H63" si="13">SUM(F70:F87)</f>
        <v>17717698</v>
      </c>
      <c r="G63" s="153">
        <f t="shared" si="13"/>
        <v>0</v>
      </c>
      <c r="H63" s="153">
        <f t="shared" si="13"/>
        <v>1349733</v>
      </c>
      <c r="I63" s="153">
        <f>SUM(I70:I87)</f>
        <v>1220035</v>
      </c>
      <c r="J63" s="153">
        <f t="shared" ref="J63:R63" si="14">SUM(J70:J87)</f>
        <v>1836628</v>
      </c>
      <c r="K63" s="153">
        <f t="shared" si="14"/>
        <v>1880187</v>
      </c>
      <c r="L63" s="153">
        <f t="shared" si="14"/>
        <v>1753981</v>
      </c>
      <c r="M63" s="153">
        <f t="shared" si="14"/>
        <v>1070000</v>
      </c>
      <c r="N63" s="153">
        <f t="shared" si="14"/>
        <v>1220000</v>
      </c>
      <c r="O63" s="153">
        <f t="shared" si="14"/>
        <v>1309500</v>
      </c>
      <c r="P63" s="153">
        <f t="shared" si="14"/>
        <v>1460000</v>
      </c>
      <c r="Q63" s="153">
        <f t="shared" si="14"/>
        <v>960000</v>
      </c>
      <c r="R63" s="153">
        <f t="shared" si="14"/>
        <v>960000</v>
      </c>
      <c r="S63" s="154">
        <f>SUM(S70:S87)</f>
        <v>13670331</v>
      </c>
    </row>
    <row r="64" spans="1:20" s="57" customFormat="1" ht="18" hidden="1" customHeight="1">
      <c r="A64" s="476"/>
      <c r="B64" s="96" t="s">
        <v>142</v>
      </c>
      <c r="C64" s="485" t="s">
        <v>43</v>
      </c>
      <c r="D64" s="488">
        <v>2020</v>
      </c>
      <c r="E64" s="488">
        <v>2021</v>
      </c>
      <c r="F64" s="97">
        <f t="shared" ref="F64:P64" si="15">SUM(F65:F66)</f>
        <v>0</v>
      </c>
      <c r="G64" s="98">
        <f t="shared" si="15"/>
        <v>0</v>
      </c>
      <c r="H64" s="98">
        <f t="shared" si="15"/>
        <v>0</v>
      </c>
      <c r="I64" s="98">
        <f t="shared" si="15"/>
        <v>0</v>
      </c>
      <c r="J64" s="98">
        <f t="shared" si="15"/>
        <v>0</v>
      </c>
      <c r="K64" s="98">
        <f t="shared" si="15"/>
        <v>0</v>
      </c>
      <c r="L64" s="98">
        <f t="shared" si="15"/>
        <v>0</v>
      </c>
      <c r="M64" s="98">
        <f t="shared" si="15"/>
        <v>0</v>
      </c>
      <c r="N64" s="98">
        <f t="shared" si="15"/>
        <v>0</v>
      </c>
      <c r="O64" s="98">
        <f t="shared" si="15"/>
        <v>0</v>
      </c>
      <c r="P64" s="98">
        <f t="shared" si="15"/>
        <v>0</v>
      </c>
      <c r="Q64" s="99"/>
      <c r="R64" s="99"/>
      <c r="S64" s="473">
        <f>SUM(F64)</f>
        <v>0</v>
      </c>
    </row>
    <row r="65" spans="1:19" s="15" customFormat="1" ht="15" hidden="1" thickBot="1">
      <c r="A65" s="476"/>
      <c r="B65" s="100" t="s">
        <v>30</v>
      </c>
      <c r="C65" s="486"/>
      <c r="D65" s="489"/>
      <c r="E65" s="489"/>
      <c r="F65" s="101">
        <f>SUM(G65:P65)</f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99"/>
      <c r="R65" s="99"/>
      <c r="S65" s="473"/>
    </row>
    <row r="66" spans="1:19" s="15" customFormat="1" ht="15" hidden="1" thickBot="1">
      <c r="A66" s="484"/>
      <c r="B66" s="102" t="s">
        <v>32</v>
      </c>
      <c r="C66" s="487"/>
      <c r="D66" s="490"/>
      <c r="E66" s="490"/>
      <c r="F66" s="103">
        <f>SUM(G66:P66)</f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/>
      <c r="P66" s="103"/>
      <c r="Q66" s="104"/>
      <c r="R66" s="104"/>
      <c r="S66" s="474"/>
    </row>
    <row r="67" spans="1:19" s="15" customFormat="1" ht="27.75" hidden="1" customHeight="1">
      <c r="A67" s="475"/>
      <c r="B67" s="105" t="s">
        <v>143</v>
      </c>
      <c r="C67" s="477" t="s">
        <v>43</v>
      </c>
      <c r="D67" s="479">
        <v>2014</v>
      </c>
      <c r="E67" s="479">
        <v>2014</v>
      </c>
      <c r="F67" s="106">
        <f t="shared" ref="F67:P67" si="16">SUM(F68:F69)</f>
        <v>0</v>
      </c>
      <c r="G67" s="107">
        <f t="shared" si="16"/>
        <v>0</v>
      </c>
      <c r="H67" s="107">
        <f t="shared" si="16"/>
        <v>0</v>
      </c>
      <c r="I67" s="107">
        <f t="shared" si="16"/>
        <v>0</v>
      </c>
      <c r="J67" s="107">
        <f t="shared" si="16"/>
        <v>0</v>
      </c>
      <c r="K67" s="107">
        <f t="shared" si="16"/>
        <v>0</v>
      </c>
      <c r="L67" s="107">
        <f t="shared" si="16"/>
        <v>0</v>
      </c>
      <c r="M67" s="107">
        <f t="shared" si="16"/>
        <v>0</v>
      </c>
      <c r="N67" s="107">
        <f t="shared" si="16"/>
        <v>0</v>
      </c>
      <c r="O67" s="107">
        <f t="shared" si="16"/>
        <v>0</v>
      </c>
      <c r="P67" s="107">
        <f t="shared" si="16"/>
        <v>0</v>
      </c>
      <c r="Q67" s="108"/>
      <c r="R67" s="108"/>
      <c r="S67" s="482">
        <f>SUM(F67)</f>
        <v>0</v>
      </c>
    </row>
    <row r="68" spans="1:19" s="15" customFormat="1" ht="15" hidden="1" thickBot="1">
      <c r="A68" s="476"/>
      <c r="B68" s="100" t="s">
        <v>30</v>
      </c>
      <c r="C68" s="478"/>
      <c r="D68" s="480"/>
      <c r="E68" s="480"/>
      <c r="F68" s="101">
        <f>SUM(G68:P68)</f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99"/>
      <c r="R68" s="99"/>
      <c r="S68" s="473"/>
    </row>
    <row r="69" spans="1:19" s="15" customFormat="1" ht="15" hidden="1" thickBot="1">
      <c r="A69" s="476"/>
      <c r="B69" s="102" t="s">
        <v>32</v>
      </c>
      <c r="C69" s="478"/>
      <c r="D69" s="481"/>
      <c r="E69" s="481"/>
      <c r="F69" s="103">
        <f>SUM(G69:P69)</f>
        <v>0</v>
      </c>
      <c r="G69" s="103">
        <v>0</v>
      </c>
      <c r="H69" s="103">
        <v>0</v>
      </c>
      <c r="I69" s="103"/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4"/>
      <c r="R69" s="104"/>
      <c r="S69" s="474"/>
    </row>
    <row r="70" spans="1:19" s="42" customFormat="1" ht="36.75" customHeight="1">
      <c r="A70" s="109" t="s">
        <v>144</v>
      </c>
      <c r="B70" s="255" t="s">
        <v>145</v>
      </c>
      <c r="C70" s="51" t="s">
        <v>146</v>
      </c>
      <c r="D70" s="256">
        <v>2015</v>
      </c>
      <c r="E70" s="256">
        <v>2016</v>
      </c>
      <c r="F70" s="257">
        <v>300000</v>
      </c>
      <c r="G70" s="258"/>
      <c r="H70" s="259">
        <v>300000</v>
      </c>
      <c r="I70" s="259" t="s">
        <v>37</v>
      </c>
      <c r="J70" s="74">
        <v>250000</v>
      </c>
      <c r="K70" s="74">
        <v>50000</v>
      </c>
      <c r="L70" s="74" t="s">
        <v>37</v>
      </c>
      <c r="M70" s="74" t="s">
        <v>37</v>
      </c>
      <c r="N70" s="74" t="s">
        <v>37</v>
      </c>
      <c r="O70" s="74" t="s">
        <v>37</v>
      </c>
      <c r="P70" s="74" t="s">
        <v>37</v>
      </c>
      <c r="Q70" s="74" t="s">
        <v>37</v>
      </c>
      <c r="R70" s="74" t="s">
        <v>37</v>
      </c>
      <c r="S70" s="26">
        <f t="shared" ref="S70:S87" si="17">SUM(I70:R70)</f>
        <v>300000</v>
      </c>
    </row>
    <row r="71" spans="1:19" s="42" customFormat="1" ht="36.75" customHeight="1">
      <c r="A71" s="260" t="s">
        <v>147</v>
      </c>
      <c r="B71" s="58" t="s">
        <v>148</v>
      </c>
      <c r="C71" s="44" t="s">
        <v>149</v>
      </c>
      <c r="D71" s="59">
        <v>2016</v>
      </c>
      <c r="E71" s="59">
        <v>2023</v>
      </c>
      <c r="F71" s="60">
        <v>3000000</v>
      </c>
      <c r="G71" s="63"/>
      <c r="H71" s="64" t="s">
        <v>37</v>
      </c>
      <c r="I71" s="64" t="s">
        <v>37</v>
      </c>
      <c r="J71" s="64" t="s">
        <v>196</v>
      </c>
      <c r="K71" s="64">
        <v>400000</v>
      </c>
      <c r="L71" s="64">
        <v>400000</v>
      </c>
      <c r="M71" s="63">
        <v>300000</v>
      </c>
      <c r="N71" s="64">
        <v>300000</v>
      </c>
      <c r="O71" s="64">
        <v>400000</v>
      </c>
      <c r="P71" s="64">
        <v>400000</v>
      </c>
      <c r="Q71" s="64">
        <v>400000</v>
      </c>
      <c r="R71" s="64">
        <v>400000</v>
      </c>
      <c r="S71" s="156">
        <f t="shared" si="17"/>
        <v>3000000</v>
      </c>
    </row>
    <row r="72" spans="1:19" s="42" customFormat="1" ht="50.25" customHeight="1">
      <c r="A72" s="110" t="s">
        <v>150</v>
      </c>
      <c r="B72" s="111" t="s">
        <v>195</v>
      </c>
      <c r="C72" s="112" t="s">
        <v>151</v>
      </c>
      <c r="D72" s="113">
        <v>2017</v>
      </c>
      <c r="E72" s="113">
        <v>2020</v>
      </c>
      <c r="F72" s="114">
        <v>100000</v>
      </c>
      <c r="G72" s="115"/>
      <c r="H72" s="116" t="s">
        <v>37</v>
      </c>
      <c r="I72" s="116" t="s">
        <v>37</v>
      </c>
      <c r="J72" s="116" t="s">
        <v>37</v>
      </c>
      <c r="K72" s="116" t="s">
        <v>37</v>
      </c>
      <c r="L72" s="116">
        <v>10000</v>
      </c>
      <c r="M72" s="116">
        <v>30000</v>
      </c>
      <c r="N72" s="116">
        <v>30000</v>
      </c>
      <c r="O72" s="116">
        <v>30000</v>
      </c>
      <c r="P72" s="116" t="s">
        <v>37</v>
      </c>
      <c r="Q72" s="116" t="s">
        <v>37</v>
      </c>
      <c r="R72" s="116" t="s">
        <v>37</v>
      </c>
      <c r="S72" s="117">
        <f t="shared" si="17"/>
        <v>100000</v>
      </c>
    </row>
    <row r="73" spans="1:19" s="42" customFormat="1" ht="38.25" customHeight="1">
      <c r="A73" s="109" t="s">
        <v>152</v>
      </c>
      <c r="B73" s="58" t="s">
        <v>153</v>
      </c>
      <c r="C73" s="44" t="s">
        <v>154</v>
      </c>
      <c r="D73" s="261">
        <v>2014</v>
      </c>
      <c r="E73" s="261">
        <v>2023</v>
      </c>
      <c r="F73" s="262">
        <v>550000</v>
      </c>
      <c r="G73" s="73"/>
      <c r="H73" s="263"/>
      <c r="I73" s="116">
        <v>38130</v>
      </c>
      <c r="J73" s="263">
        <v>23370</v>
      </c>
      <c r="K73" s="263">
        <v>65000</v>
      </c>
      <c r="L73" s="263">
        <v>63500</v>
      </c>
      <c r="M73" s="263">
        <v>60000</v>
      </c>
      <c r="N73" s="263">
        <v>60000</v>
      </c>
      <c r="O73" s="263">
        <v>60000</v>
      </c>
      <c r="P73" s="263">
        <v>60000</v>
      </c>
      <c r="Q73" s="263">
        <v>60000</v>
      </c>
      <c r="R73" s="263">
        <v>60000</v>
      </c>
      <c r="S73" s="26">
        <f t="shared" si="17"/>
        <v>550000</v>
      </c>
    </row>
    <row r="74" spans="1:19" s="42" customFormat="1" ht="84">
      <c r="A74" s="109" t="s">
        <v>155</v>
      </c>
      <c r="B74" s="58" t="s">
        <v>194</v>
      </c>
      <c r="C74" s="78" t="s">
        <v>156</v>
      </c>
      <c r="D74" s="59">
        <v>2017</v>
      </c>
      <c r="E74" s="59">
        <v>2019</v>
      </c>
      <c r="F74" s="60">
        <v>350000</v>
      </c>
      <c r="G74" s="63"/>
      <c r="H74" s="64">
        <v>0</v>
      </c>
      <c r="I74" s="64">
        <v>0</v>
      </c>
      <c r="J74" s="64">
        <v>0</v>
      </c>
      <c r="K74" s="64" t="s">
        <v>196</v>
      </c>
      <c r="L74" s="64">
        <v>100000</v>
      </c>
      <c r="M74" s="63">
        <v>100000</v>
      </c>
      <c r="N74" s="64">
        <v>150000</v>
      </c>
      <c r="O74" s="64">
        <v>0</v>
      </c>
      <c r="P74" s="64">
        <v>0</v>
      </c>
      <c r="Q74" s="64">
        <v>0</v>
      </c>
      <c r="R74" s="64">
        <v>0</v>
      </c>
      <c r="S74" s="26">
        <f t="shared" si="17"/>
        <v>350000</v>
      </c>
    </row>
    <row r="75" spans="1:19" s="34" customFormat="1" ht="36" customHeight="1">
      <c r="A75" s="109" t="s">
        <v>157</v>
      </c>
      <c r="B75" s="58" t="s">
        <v>158</v>
      </c>
      <c r="C75" s="44" t="s">
        <v>159</v>
      </c>
      <c r="D75" s="59">
        <v>2010</v>
      </c>
      <c r="E75" s="59">
        <v>2023</v>
      </c>
      <c r="F75" s="60">
        <v>4080000</v>
      </c>
      <c r="G75" s="63"/>
      <c r="H75" s="63">
        <v>80000</v>
      </c>
      <c r="I75" s="64">
        <v>17954</v>
      </c>
      <c r="J75" s="64">
        <v>352046</v>
      </c>
      <c r="K75" s="64">
        <v>300000</v>
      </c>
      <c r="L75" s="64">
        <v>350000</v>
      </c>
      <c r="M75" s="64">
        <v>400000</v>
      </c>
      <c r="N75" s="64">
        <v>500000</v>
      </c>
      <c r="O75" s="64">
        <v>500000</v>
      </c>
      <c r="P75" s="64">
        <v>500000</v>
      </c>
      <c r="Q75" s="64">
        <v>500000</v>
      </c>
      <c r="R75" s="64">
        <v>500000</v>
      </c>
      <c r="S75" s="26">
        <f t="shared" si="17"/>
        <v>3920000</v>
      </c>
    </row>
    <row r="76" spans="1:19" s="42" customFormat="1" ht="30.75" customHeight="1">
      <c r="A76" s="109" t="s">
        <v>160</v>
      </c>
      <c r="B76" s="58" t="s">
        <v>161</v>
      </c>
      <c r="C76" s="44" t="s">
        <v>43</v>
      </c>
      <c r="D76" s="59">
        <v>2007</v>
      </c>
      <c r="E76" s="59">
        <v>2017</v>
      </c>
      <c r="F76" s="60">
        <v>748924</v>
      </c>
      <c r="G76" s="63"/>
      <c r="H76" s="63">
        <v>105779</v>
      </c>
      <c r="I76" s="63">
        <v>97980</v>
      </c>
      <c r="J76" s="63">
        <v>92100</v>
      </c>
      <c r="K76" s="63">
        <v>87300</v>
      </c>
      <c r="L76" s="63">
        <v>32467</v>
      </c>
      <c r="M76" s="64" t="s">
        <v>37</v>
      </c>
      <c r="N76" s="64" t="s">
        <v>37</v>
      </c>
      <c r="O76" s="64" t="s">
        <v>37</v>
      </c>
      <c r="P76" s="64" t="s">
        <v>37</v>
      </c>
      <c r="Q76" s="64" t="s">
        <v>37</v>
      </c>
      <c r="R76" s="64" t="s">
        <v>37</v>
      </c>
      <c r="S76" s="26">
        <f t="shared" si="17"/>
        <v>309847</v>
      </c>
    </row>
    <row r="77" spans="1:19" s="42" customFormat="1" ht="135.75" customHeight="1">
      <c r="A77" s="109" t="s">
        <v>162</v>
      </c>
      <c r="B77" s="58" t="s">
        <v>163</v>
      </c>
      <c r="C77" s="44" t="s">
        <v>164</v>
      </c>
      <c r="D77" s="59">
        <v>2007</v>
      </c>
      <c r="E77" s="59">
        <v>2021</v>
      </c>
      <c r="F77" s="60">
        <v>1582500</v>
      </c>
      <c r="G77" s="63"/>
      <c r="H77" s="63">
        <v>120000</v>
      </c>
      <c r="I77" s="63">
        <v>260500</v>
      </c>
      <c r="J77" s="63">
        <v>100000</v>
      </c>
      <c r="K77" s="63">
        <v>100000</v>
      </c>
      <c r="L77" s="63">
        <v>200000</v>
      </c>
      <c r="M77" s="63">
        <v>100000</v>
      </c>
      <c r="N77" s="63">
        <v>100000</v>
      </c>
      <c r="O77" s="63">
        <v>169500</v>
      </c>
      <c r="P77" s="63">
        <v>200000</v>
      </c>
      <c r="Q77" s="64" t="s">
        <v>37</v>
      </c>
      <c r="R77" s="64" t="s">
        <v>37</v>
      </c>
      <c r="S77" s="26">
        <f t="shared" si="17"/>
        <v>1230000</v>
      </c>
    </row>
    <row r="78" spans="1:19" s="34" customFormat="1" ht="54.75" customHeight="1">
      <c r="A78" s="109" t="s">
        <v>165</v>
      </c>
      <c r="B78" s="58" t="s">
        <v>166</v>
      </c>
      <c r="C78" s="44" t="s">
        <v>167</v>
      </c>
      <c r="D78" s="59">
        <v>2016</v>
      </c>
      <c r="E78" s="59">
        <v>2017</v>
      </c>
      <c r="F78" s="60">
        <v>300000</v>
      </c>
      <c r="G78" s="63"/>
      <c r="H78" s="64" t="s">
        <v>37</v>
      </c>
      <c r="I78" s="64" t="s">
        <v>196</v>
      </c>
      <c r="J78" s="64" t="s">
        <v>196</v>
      </c>
      <c r="K78" s="64">
        <v>100000</v>
      </c>
      <c r="L78" s="63">
        <v>200000</v>
      </c>
      <c r="M78" s="64" t="s">
        <v>37</v>
      </c>
      <c r="N78" s="64" t="s">
        <v>37</v>
      </c>
      <c r="O78" s="64" t="s">
        <v>37</v>
      </c>
      <c r="P78" s="64" t="s">
        <v>37</v>
      </c>
      <c r="Q78" s="64" t="s">
        <v>37</v>
      </c>
      <c r="R78" s="64" t="s">
        <v>37</v>
      </c>
      <c r="S78" s="26">
        <f t="shared" si="17"/>
        <v>300000</v>
      </c>
    </row>
    <row r="79" spans="1:19" s="34" customFormat="1" ht="63.75" customHeight="1">
      <c r="A79" s="260" t="s">
        <v>168</v>
      </c>
      <c r="B79" s="58" t="s">
        <v>614</v>
      </c>
      <c r="C79" s="44" t="s">
        <v>40</v>
      </c>
      <c r="D79" s="59">
        <v>2014</v>
      </c>
      <c r="E79" s="59">
        <v>2015</v>
      </c>
      <c r="F79" s="60">
        <v>376475</v>
      </c>
      <c r="G79" s="63"/>
      <c r="H79" s="64"/>
      <c r="I79" s="64">
        <v>110891</v>
      </c>
      <c r="J79" s="64">
        <v>265584</v>
      </c>
      <c r="K79" s="64"/>
      <c r="L79" s="63"/>
      <c r="M79" s="64"/>
      <c r="N79" s="64"/>
      <c r="O79" s="64"/>
      <c r="P79" s="64"/>
      <c r="Q79" s="64"/>
      <c r="R79" s="64"/>
      <c r="S79" s="156">
        <f t="shared" si="17"/>
        <v>376475</v>
      </c>
    </row>
    <row r="80" spans="1:19" s="42" customFormat="1" ht="28.5" customHeight="1">
      <c r="A80" s="109" t="s">
        <v>170</v>
      </c>
      <c r="B80" s="58" t="s">
        <v>169</v>
      </c>
      <c r="C80" s="44" t="s">
        <v>43</v>
      </c>
      <c r="D80" s="59">
        <v>2007</v>
      </c>
      <c r="E80" s="59">
        <v>2017</v>
      </c>
      <c r="F80" s="60">
        <v>3271193</v>
      </c>
      <c r="G80" s="63"/>
      <c r="H80" s="63">
        <v>444730</v>
      </c>
      <c r="I80" s="63">
        <v>411600</v>
      </c>
      <c r="J80" s="63">
        <v>391746</v>
      </c>
      <c r="K80" s="63">
        <v>381074</v>
      </c>
      <c r="L80" s="63">
        <v>121201</v>
      </c>
      <c r="M80" s="64" t="s">
        <v>37</v>
      </c>
      <c r="N80" s="64" t="s">
        <v>37</v>
      </c>
      <c r="O80" s="64" t="s">
        <v>37</v>
      </c>
      <c r="P80" s="64" t="s">
        <v>37</v>
      </c>
      <c r="Q80" s="64" t="s">
        <v>37</v>
      </c>
      <c r="R80" s="64" t="s">
        <v>37</v>
      </c>
      <c r="S80" s="156">
        <f t="shared" si="17"/>
        <v>1305621</v>
      </c>
    </row>
    <row r="81" spans="1:19" s="42" customFormat="1" ht="42" customHeight="1">
      <c r="A81" s="109" t="s">
        <v>172</v>
      </c>
      <c r="B81" s="58" t="s">
        <v>171</v>
      </c>
      <c r="C81" s="44" t="s">
        <v>43</v>
      </c>
      <c r="D81" s="59">
        <v>2007</v>
      </c>
      <c r="E81" s="59">
        <v>2017</v>
      </c>
      <c r="F81" s="60">
        <v>963484</v>
      </c>
      <c r="G81" s="63"/>
      <c r="H81" s="63">
        <v>130614</v>
      </c>
      <c r="I81" s="63">
        <v>120880</v>
      </c>
      <c r="J81" s="63">
        <v>116613</v>
      </c>
      <c r="K81" s="63">
        <v>111919</v>
      </c>
      <c r="L81" s="63">
        <v>35590</v>
      </c>
      <c r="M81" s="64" t="s">
        <v>37</v>
      </c>
      <c r="N81" s="64" t="s">
        <v>37</v>
      </c>
      <c r="O81" s="64" t="s">
        <v>37</v>
      </c>
      <c r="P81" s="64" t="s">
        <v>37</v>
      </c>
      <c r="Q81" s="64" t="s">
        <v>37</v>
      </c>
      <c r="R81" s="64" t="s">
        <v>37</v>
      </c>
      <c r="S81" s="26">
        <f t="shared" si="17"/>
        <v>385002</v>
      </c>
    </row>
    <row r="82" spans="1:19" s="42" customFormat="1" ht="46.5" customHeight="1">
      <c r="A82" s="109" t="s">
        <v>175</v>
      </c>
      <c r="B82" s="58" t="s">
        <v>173</v>
      </c>
      <c r="C82" s="44" t="s">
        <v>174</v>
      </c>
      <c r="D82" s="59">
        <v>2014</v>
      </c>
      <c r="E82" s="59">
        <v>2020</v>
      </c>
      <c r="F82" s="60">
        <v>150000</v>
      </c>
      <c r="G82" s="63"/>
      <c r="H82" s="64" t="s">
        <v>37</v>
      </c>
      <c r="I82" s="64">
        <v>6000</v>
      </c>
      <c r="J82" s="64">
        <v>14000</v>
      </c>
      <c r="K82" s="64">
        <v>20000</v>
      </c>
      <c r="L82" s="64">
        <v>0</v>
      </c>
      <c r="M82" s="63">
        <v>30000</v>
      </c>
      <c r="N82" s="64">
        <v>30000</v>
      </c>
      <c r="O82" s="64">
        <v>50000</v>
      </c>
      <c r="P82" s="64" t="s">
        <v>37</v>
      </c>
      <c r="Q82" s="64" t="s">
        <v>37</v>
      </c>
      <c r="R82" s="64" t="s">
        <v>37</v>
      </c>
      <c r="S82" s="26">
        <f t="shared" si="17"/>
        <v>150000</v>
      </c>
    </row>
    <row r="83" spans="1:19" s="42" customFormat="1" ht="56.25" customHeight="1">
      <c r="A83" s="109" t="s">
        <v>178</v>
      </c>
      <c r="B83" s="58" t="s">
        <v>176</v>
      </c>
      <c r="C83" s="44" t="s">
        <v>177</v>
      </c>
      <c r="D83" s="59">
        <v>2016</v>
      </c>
      <c r="E83" s="59">
        <v>2017</v>
      </c>
      <c r="F83" s="60">
        <v>200000</v>
      </c>
      <c r="G83" s="63"/>
      <c r="H83" s="64">
        <v>0</v>
      </c>
      <c r="I83" s="64">
        <v>0</v>
      </c>
      <c r="J83" s="64" t="s">
        <v>37</v>
      </c>
      <c r="K83" s="64">
        <v>100000</v>
      </c>
      <c r="L83" s="64">
        <v>100000</v>
      </c>
      <c r="M83" s="63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26">
        <f t="shared" si="17"/>
        <v>200000</v>
      </c>
    </row>
    <row r="84" spans="1:19" s="42" customFormat="1" ht="42" customHeight="1">
      <c r="A84" s="109" t="s">
        <v>180</v>
      </c>
      <c r="B84" s="58" t="s">
        <v>179</v>
      </c>
      <c r="C84" s="44" t="s">
        <v>43</v>
      </c>
      <c r="D84" s="59">
        <v>2008</v>
      </c>
      <c r="E84" s="59">
        <v>2017</v>
      </c>
      <c r="F84" s="60">
        <v>1145122</v>
      </c>
      <c r="G84" s="63"/>
      <c r="H84" s="63">
        <v>168610</v>
      </c>
      <c r="I84" s="63">
        <v>156100</v>
      </c>
      <c r="J84" s="63">
        <v>151169</v>
      </c>
      <c r="K84" s="63">
        <v>144894</v>
      </c>
      <c r="L84" s="63">
        <v>141223</v>
      </c>
      <c r="M84" s="64" t="s">
        <v>37</v>
      </c>
      <c r="N84" s="64" t="s">
        <v>37</v>
      </c>
      <c r="O84" s="64" t="s">
        <v>37</v>
      </c>
      <c r="P84" s="64" t="s">
        <v>37</v>
      </c>
      <c r="Q84" s="64" t="s">
        <v>37</v>
      </c>
      <c r="R84" s="64" t="s">
        <v>37</v>
      </c>
      <c r="S84" s="26">
        <f t="shared" si="17"/>
        <v>593386</v>
      </c>
    </row>
    <row r="85" spans="1:19" s="42" customFormat="1" ht="36">
      <c r="A85" s="109" t="s">
        <v>183</v>
      </c>
      <c r="B85" s="58" t="s">
        <v>181</v>
      </c>
      <c r="C85" s="44" t="s">
        <v>182</v>
      </c>
      <c r="D85" s="59">
        <v>2015</v>
      </c>
      <c r="E85" s="59">
        <v>2016</v>
      </c>
      <c r="F85" s="60">
        <v>100000</v>
      </c>
      <c r="G85" s="63"/>
      <c r="H85" s="63"/>
      <c r="I85" s="64" t="s">
        <v>196</v>
      </c>
      <c r="J85" s="63">
        <v>80000</v>
      </c>
      <c r="K85" s="64">
        <v>20000</v>
      </c>
      <c r="L85" s="64" t="s">
        <v>37</v>
      </c>
      <c r="M85" s="64" t="s">
        <v>37</v>
      </c>
      <c r="N85" s="64" t="s">
        <v>37</v>
      </c>
      <c r="O85" s="64" t="s">
        <v>37</v>
      </c>
      <c r="P85" s="64" t="s">
        <v>37</v>
      </c>
      <c r="Q85" s="64" t="s">
        <v>37</v>
      </c>
      <c r="R85" s="64" t="s">
        <v>37</v>
      </c>
      <c r="S85" s="26">
        <f t="shared" si="17"/>
        <v>100000</v>
      </c>
    </row>
    <row r="86" spans="1:19" s="42" customFormat="1" ht="42" customHeight="1">
      <c r="A86" s="109" t="s">
        <v>186</v>
      </c>
      <c r="B86" s="118" t="s">
        <v>184</v>
      </c>
      <c r="C86" s="51" t="s">
        <v>185</v>
      </c>
      <c r="D86" s="71">
        <v>2020</v>
      </c>
      <c r="E86" s="71">
        <v>2021</v>
      </c>
      <c r="F86" s="56">
        <v>400000</v>
      </c>
      <c r="G86" s="74" t="s">
        <v>37</v>
      </c>
      <c r="H86" s="74" t="s">
        <v>37</v>
      </c>
      <c r="I86" s="74" t="s">
        <v>37</v>
      </c>
      <c r="J86" s="74" t="s">
        <v>37</v>
      </c>
      <c r="K86" s="75">
        <v>0</v>
      </c>
      <c r="L86" s="74" t="s">
        <v>37</v>
      </c>
      <c r="M86" s="74" t="s">
        <v>37</v>
      </c>
      <c r="N86" s="74" t="s">
        <v>37</v>
      </c>
      <c r="O86" s="74">
        <v>100000</v>
      </c>
      <c r="P86" s="74">
        <v>300000</v>
      </c>
      <c r="Q86" s="74" t="s">
        <v>37</v>
      </c>
      <c r="R86" s="74" t="s">
        <v>37</v>
      </c>
      <c r="S86" s="26">
        <f t="shared" si="17"/>
        <v>400000</v>
      </c>
    </row>
    <row r="87" spans="1:19" s="42" customFormat="1" ht="42" customHeight="1" thickBot="1">
      <c r="A87" s="119" t="s">
        <v>613</v>
      </c>
      <c r="B87" s="120" t="s">
        <v>187</v>
      </c>
      <c r="C87" s="121" t="s">
        <v>188</v>
      </c>
      <c r="D87" s="79">
        <v>2018</v>
      </c>
      <c r="E87" s="79">
        <v>2019</v>
      </c>
      <c r="F87" s="83">
        <v>100000</v>
      </c>
      <c r="G87" s="84" t="s">
        <v>37</v>
      </c>
      <c r="H87" s="84" t="s">
        <v>37</v>
      </c>
      <c r="I87" s="84" t="s">
        <v>37</v>
      </c>
      <c r="J87" s="84" t="s">
        <v>37</v>
      </c>
      <c r="K87" s="82">
        <v>0</v>
      </c>
      <c r="L87" s="84" t="s">
        <v>37</v>
      </c>
      <c r="M87" s="84">
        <v>50000</v>
      </c>
      <c r="N87" s="84">
        <v>50000</v>
      </c>
      <c r="O87" s="84" t="s">
        <v>37</v>
      </c>
      <c r="P87" s="84" t="s">
        <v>37</v>
      </c>
      <c r="Q87" s="84" t="s">
        <v>37</v>
      </c>
      <c r="R87" s="84" t="s">
        <v>37</v>
      </c>
      <c r="S87" s="158">
        <f t="shared" si="17"/>
        <v>100000</v>
      </c>
    </row>
    <row r="88" spans="1:19" s="15" customFormat="1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</row>
    <row r="89" spans="1:19" s="15" customFormat="1">
      <c r="A89" s="472" t="s">
        <v>189</v>
      </c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2"/>
      <c r="N89" s="472"/>
      <c r="O89" s="472"/>
      <c r="P89" s="472"/>
      <c r="Q89" s="472"/>
      <c r="R89" s="472"/>
      <c r="S89" s="472"/>
    </row>
    <row r="90" spans="1:19" s="6" customFormat="1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</row>
    <row r="91" spans="1:19" s="6" customFormat="1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</row>
    <row r="92" spans="1:19" s="6" customFormat="1" hidden="1">
      <c r="A92" s="123"/>
      <c r="B92" s="123"/>
      <c r="C92" s="123"/>
      <c r="D92" s="123"/>
      <c r="E92" s="123"/>
      <c r="F92" s="123"/>
      <c r="G92" s="124" t="e">
        <f>SUM(#REF!,#REF!,G65,G68,#REF!,#REF!,#REF!)</f>
        <v>#REF!</v>
      </c>
      <c r="H92" s="124" t="e">
        <f>SUM(#REF!,#REF!,H65,H68,#REF!,#REF!,#REF!)</f>
        <v>#REF!</v>
      </c>
      <c r="I92" s="124" t="e">
        <f>SUM(#REF!,#REF!,I65,I68,#REF!,#REF!,#REF!)</f>
        <v>#REF!</v>
      </c>
      <c r="J92" s="124" t="e">
        <f>SUM(#REF!,#REF!,J65,J68,#REF!,#REF!,#REF!)</f>
        <v>#REF!</v>
      </c>
      <c r="K92" s="124" t="e">
        <f>SUM(#REF!,#REF!,K65,K68,#REF!,#REF!,#REF!)</f>
        <v>#REF!</v>
      </c>
      <c r="L92" s="124" t="e">
        <f>SUM(#REF!,#REF!,L65,L68,#REF!,#REF!,#REF!)</f>
        <v>#REF!</v>
      </c>
      <c r="M92" s="124" t="e">
        <f>SUM(#REF!,#REF!,M65,M68,#REF!,#REF!,#REF!)</f>
        <v>#REF!</v>
      </c>
      <c r="N92" s="124" t="e">
        <f>SUM(#REF!,#REF!,N65,N68,#REF!,#REF!,#REF!)</f>
        <v>#REF!</v>
      </c>
      <c r="O92" s="124" t="e">
        <f>SUM(#REF!,#REF!,O65,O68,#REF!,#REF!,#REF!)</f>
        <v>#REF!</v>
      </c>
      <c r="P92" s="124" t="e">
        <f>SUM(#REF!,#REF!,P65,P68,#REF!,#REF!,#REF!)</f>
        <v>#REF!</v>
      </c>
      <c r="Q92" s="124"/>
      <c r="R92" s="124"/>
      <c r="S92" s="124" t="e">
        <f>SUM(#REF!,#REF!,S65,S68,#REF!,#REF!,#REF!)</f>
        <v>#REF!</v>
      </c>
    </row>
    <row r="93" spans="1:19" s="6" customFormat="1" hidden="1">
      <c r="A93" s="123"/>
      <c r="B93" s="123"/>
      <c r="C93" s="123"/>
      <c r="D93" s="123"/>
      <c r="E93" s="123"/>
      <c r="F93" s="123"/>
      <c r="G93" s="124" t="e">
        <f>SUM(#REF!,#REF!,#REF!,#REF!,#REF!,#REF!,#REF!,#REF!,#REF!,#REF!,#REF!,#REF!,#REF!,#REF!,#REF!,#REF!,#REF!,#REF!,#REF!,#REF!,#REF!,#REF!,#REF!)</f>
        <v>#REF!</v>
      </c>
      <c r="H93" s="124" t="e">
        <f>SUM(#REF!,#REF!,#REF!,#REF!,#REF!,#REF!,#REF!,#REF!,#REF!,#REF!,#REF!,#REF!,#REF!,#REF!,#REF!,#REF!,#REF!,#REF!,#REF!,#REF!,#REF!,#REF!,#REF!)</f>
        <v>#REF!</v>
      </c>
      <c r="I93" s="124" t="e">
        <f>SUM(#REF!,#REF!,#REF!,#REF!,#REF!,#REF!,#REF!,#REF!,#REF!,#REF!,#REF!,#REF!,#REF!,#REF!,#REF!,#REF!,#REF!,#REF!,#REF!,#REF!,#REF!,#REF!,#REF!)</f>
        <v>#REF!</v>
      </c>
      <c r="J93" s="124" t="e">
        <f>SUM(#REF!,#REF!,#REF!,#REF!,#REF!,#REF!,#REF!,#REF!,#REF!,#REF!,#REF!,#REF!,#REF!,#REF!,#REF!,#REF!,#REF!,#REF!,#REF!,#REF!,#REF!,#REF!,#REF!)</f>
        <v>#REF!</v>
      </c>
      <c r="K93" s="124" t="e">
        <f>SUM(#REF!,#REF!,#REF!,#REF!,#REF!,#REF!,#REF!,#REF!,#REF!,#REF!,#REF!,#REF!,#REF!,#REF!,#REF!,#REF!,#REF!,#REF!,#REF!,#REF!,#REF!,#REF!,#REF!)</f>
        <v>#REF!</v>
      </c>
      <c r="L93" s="124" t="e">
        <f>SUM(#REF!,#REF!,#REF!,#REF!,#REF!,#REF!,#REF!,#REF!,#REF!,#REF!,#REF!,#REF!,#REF!,#REF!,#REF!,#REF!,#REF!,#REF!,#REF!,#REF!,#REF!,#REF!,#REF!)</f>
        <v>#REF!</v>
      </c>
      <c r="M93" s="124" t="e">
        <f>SUM(#REF!,#REF!,#REF!,#REF!,#REF!,#REF!,#REF!,#REF!,#REF!,#REF!,#REF!,#REF!,#REF!,#REF!,#REF!,#REF!,#REF!,#REF!,#REF!,#REF!,#REF!,#REF!,#REF!)</f>
        <v>#REF!</v>
      </c>
      <c r="N93" s="124" t="e">
        <f>SUM(#REF!,#REF!,#REF!,#REF!,#REF!,#REF!,#REF!,#REF!,#REF!,#REF!,#REF!,#REF!,#REF!,#REF!,#REF!,#REF!,#REF!,#REF!,#REF!,#REF!,#REF!,#REF!,#REF!)</f>
        <v>#REF!</v>
      </c>
      <c r="O93" s="124" t="e">
        <f>SUM(#REF!,#REF!,#REF!,#REF!,#REF!,#REF!,#REF!,#REF!,#REF!,#REF!,#REF!,#REF!,#REF!,#REF!,#REF!,#REF!,#REF!,#REF!,#REF!,#REF!,#REF!,#REF!,#REF!)</f>
        <v>#REF!</v>
      </c>
      <c r="P93" s="124" t="e">
        <f>SUM(#REF!,#REF!,#REF!,#REF!,#REF!,#REF!,#REF!,#REF!,#REF!,#REF!,#REF!,#REF!,#REF!,#REF!,#REF!,#REF!,#REF!,#REF!,#REF!,#REF!,#REF!,#REF!,#REF!)</f>
        <v>#REF!</v>
      </c>
      <c r="Q93" s="124"/>
      <c r="R93" s="124"/>
      <c r="S93" s="124" t="e">
        <f>SUM(#REF!,#REF!,#REF!,#REF!,#REF!,#REF!,#REF!,#REF!,#REF!,#REF!,#REF!,#REF!,#REF!,#REF!,#REF!,#REF!,#REF!,#REF!,#REF!,#REF!,#REF!,#REF!,#REF!)</f>
        <v>#REF!</v>
      </c>
    </row>
    <row r="94" spans="1:19" s="127" customFormat="1" hidden="1">
      <c r="A94" s="125"/>
      <c r="B94" s="125"/>
      <c r="C94" s="125"/>
      <c r="D94" s="125"/>
      <c r="E94" s="125"/>
      <c r="F94" s="125"/>
      <c r="G94" s="126" t="e">
        <f t="shared" ref="G94:P94" si="18">SUM(G92:G93)</f>
        <v>#REF!</v>
      </c>
      <c r="H94" s="126" t="e">
        <f t="shared" si="18"/>
        <v>#REF!</v>
      </c>
      <c r="I94" s="126" t="e">
        <f t="shared" si="18"/>
        <v>#REF!</v>
      </c>
      <c r="J94" s="126" t="e">
        <f t="shared" si="18"/>
        <v>#REF!</v>
      </c>
      <c r="K94" s="126" t="e">
        <f t="shared" si="18"/>
        <v>#REF!</v>
      </c>
      <c r="L94" s="126" t="e">
        <f t="shared" si="18"/>
        <v>#REF!</v>
      </c>
      <c r="M94" s="126" t="e">
        <f t="shared" si="18"/>
        <v>#REF!</v>
      </c>
      <c r="N94" s="126" t="e">
        <f t="shared" si="18"/>
        <v>#REF!</v>
      </c>
      <c r="O94" s="126" t="e">
        <f t="shared" si="18"/>
        <v>#REF!</v>
      </c>
      <c r="P94" s="126" t="e">
        <f t="shared" si="18"/>
        <v>#REF!</v>
      </c>
      <c r="Q94" s="126"/>
      <c r="R94" s="126"/>
      <c r="S94" s="126" t="e">
        <f>SUM(S92:S93)</f>
        <v>#REF!</v>
      </c>
    </row>
    <row r="95" spans="1:19" s="6" customFormat="1" hidden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</row>
    <row r="96" spans="1:19" s="6" customFormat="1" hidden="1">
      <c r="A96" s="123"/>
      <c r="B96" s="123"/>
      <c r="C96" s="123"/>
      <c r="D96" s="123"/>
      <c r="E96" s="123"/>
      <c r="F96" s="123"/>
      <c r="G96" s="124" t="e">
        <f>SUM(#REF!,#REF!,G66,G69,#REF!,#REF!,#REF!)</f>
        <v>#REF!</v>
      </c>
      <c r="H96" s="124" t="e">
        <f>SUM(#REF!,#REF!,H66,H69,#REF!,#REF!,#REF!)</f>
        <v>#REF!</v>
      </c>
      <c r="I96" s="124" t="e">
        <f>SUM(#REF!,#REF!,I66,I69,#REF!,#REF!,#REF!)</f>
        <v>#REF!</v>
      </c>
      <c r="J96" s="124" t="e">
        <f>SUM(#REF!,#REF!,J66,J69,#REF!,#REF!,#REF!)</f>
        <v>#REF!</v>
      </c>
      <c r="K96" s="124" t="e">
        <f>SUM(#REF!,#REF!,K66,K69,#REF!,#REF!,#REF!)</f>
        <v>#REF!</v>
      </c>
      <c r="L96" s="124" t="e">
        <f>SUM(#REF!,#REF!,L66,L69,#REF!,#REF!,#REF!)</f>
        <v>#REF!</v>
      </c>
      <c r="M96" s="124" t="e">
        <f>SUM(#REF!,#REF!,M66,M69,#REF!,#REF!,#REF!)</f>
        <v>#REF!</v>
      </c>
      <c r="N96" s="124" t="e">
        <f>SUM(#REF!,#REF!,N66,N69,#REF!,#REF!,#REF!)</f>
        <v>#REF!</v>
      </c>
      <c r="O96" s="124" t="e">
        <f>SUM(#REF!,#REF!,O66,O69,#REF!,#REF!,#REF!)</f>
        <v>#REF!</v>
      </c>
      <c r="P96" s="124" t="e">
        <f>SUM(#REF!,#REF!,P66,P69,#REF!,#REF!,#REF!)</f>
        <v>#REF!</v>
      </c>
      <c r="Q96" s="124"/>
      <c r="R96" s="124"/>
      <c r="S96" s="124" t="e">
        <f>SUM(#REF!,#REF!,S66,S69,#REF!,#REF!,#REF!)</f>
        <v>#REF!</v>
      </c>
    </row>
    <row r="97" spans="1:19" s="6" customFormat="1" hidden="1">
      <c r="A97" s="123"/>
      <c r="B97" s="123"/>
      <c r="C97" s="123"/>
      <c r="D97" s="123"/>
      <c r="E97" s="123"/>
      <c r="F97" s="123"/>
      <c r="G97" s="124" t="e">
        <f>SUM(#REF!,#REF!,#REF!,#REF!,#REF!,#REF!,#REF!,#REF!,#REF!,#REF!,#REF!,#REF!,#REF!,#REF!,#REF!,#REF!,#REF!,#REF!,#REF!,#REF!,#REF!,#REF!,#REF!,#REF!,#REF!,#REF!)</f>
        <v>#REF!</v>
      </c>
      <c r="H97" s="124" t="e">
        <f>SUM(#REF!,#REF!,#REF!,#REF!,#REF!,#REF!,#REF!,#REF!,#REF!,#REF!,#REF!,#REF!,#REF!,#REF!,#REF!,#REF!,#REF!,#REF!,#REF!,#REF!,#REF!,#REF!,#REF!,#REF!,#REF!,#REF!)</f>
        <v>#REF!</v>
      </c>
      <c r="I97" s="124" t="e">
        <f>SUM(#REF!,#REF!,#REF!,#REF!,#REF!,#REF!,#REF!,#REF!,#REF!,#REF!,#REF!,#REF!,#REF!,#REF!,#REF!,#REF!,#REF!,#REF!,#REF!,#REF!,#REF!,#REF!,#REF!,#REF!,#REF!,#REF!)</f>
        <v>#REF!</v>
      </c>
      <c r="J97" s="124" t="e">
        <f>SUM(#REF!,#REF!,#REF!,#REF!,#REF!,#REF!,#REF!,#REF!,#REF!,#REF!,#REF!,#REF!,#REF!,#REF!,#REF!,#REF!,#REF!,#REF!,#REF!,#REF!,#REF!,#REF!,#REF!,#REF!,#REF!,#REF!)</f>
        <v>#REF!</v>
      </c>
      <c r="K97" s="124" t="e">
        <f>SUM(#REF!,#REF!,#REF!,#REF!,#REF!,#REF!,#REF!,#REF!,#REF!,#REF!,#REF!,#REF!,#REF!,#REF!,#REF!,#REF!,#REF!,#REF!,#REF!,#REF!,#REF!,#REF!,#REF!,#REF!,#REF!,#REF!)</f>
        <v>#REF!</v>
      </c>
      <c r="L97" s="124" t="e">
        <f>SUM(#REF!,#REF!,#REF!,#REF!,#REF!,#REF!,#REF!,#REF!,#REF!,#REF!,#REF!,#REF!,#REF!,#REF!,#REF!,#REF!,#REF!,#REF!,#REF!,#REF!,#REF!,#REF!,#REF!,#REF!,#REF!,#REF!)</f>
        <v>#REF!</v>
      </c>
      <c r="M97" s="124" t="e">
        <f>SUM(#REF!,#REF!,#REF!,#REF!,#REF!,#REF!,#REF!,#REF!,#REF!,#REF!,#REF!,#REF!,#REF!,#REF!,#REF!,#REF!,#REF!,#REF!,#REF!,#REF!,#REF!,#REF!,#REF!,#REF!,#REF!,#REF!)</f>
        <v>#REF!</v>
      </c>
      <c r="N97" s="124" t="e">
        <f>SUM(#REF!,#REF!,#REF!,#REF!,#REF!,#REF!,#REF!,#REF!,#REF!,#REF!,#REF!,#REF!,#REF!,#REF!,#REF!,#REF!,#REF!,#REF!,#REF!,#REF!,#REF!,#REF!,#REF!,#REF!,#REF!,#REF!)</f>
        <v>#REF!</v>
      </c>
      <c r="O97" s="124" t="e">
        <f>SUM(#REF!,#REF!,#REF!,#REF!,#REF!,#REF!,#REF!,#REF!,#REF!,#REF!,#REF!,#REF!,#REF!,#REF!,#REF!,#REF!,#REF!,#REF!,#REF!,#REF!,#REF!,#REF!,#REF!,#REF!,#REF!,#REF!)</f>
        <v>#REF!</v>
      </c>
      <c r="P97" s="124" t="e">
        <f>SUM(#REF!,#REF!,#REF!,#REF!,#REF!,#REF!,#REF!,#REF!,#REF!,#REF!,#REF!,#REF!,#REF!,#REF!,#REF!,#REF!,#REF!,#REF!,#REF!,#REF!,#REF!,#REF!,#REF!,#REF!,#REF!,#REF!)</f>
        <v>#REF!</v>
      </c>
      <c r="Q97" s="124"/>
      <c r="R97" s="124"/>
      <c r="S97" s="124" t="e">
        <f>SUM(#REF!,#REF!,#REF!,#REF!,#REF!,#REF!,#REF!,#REF!,#REF!,#REF!,#REF!,#REF!,#REF!,#REF!,#REF!,#REF!,#REF!,#REF!,#REF!,#REF!,#REF!,#REF!,#REF!,#REF!,#REF!,#REF!)</f>
        <v>#REF!</v>
      </c>
    </row>
    <row r="98" spans="1:19" s="127" customFormat="1" hidden="1">
      <c r="A98" s="125"/>
      <c r="B98" s="125"/>
      <c r="C98" s="125"/>
      <c r="D98" s="125"/>
      <c r="E98" s="125"/>
      <c r="F98" s="125"/>
      <c r="G98" s="126" t="e">
        <f t="shared" ref="G98:P98" si="19">SUM(G96:G97)</f>
        <v>#REF!</v>
      </c>
      <c r="H98" s="126" t="e">
        <f t="shared" si="19"/>
        <v>#REF!</v>
      </c>
      <c r="I98" s="126" t="e">
        <f t="shared" si="19"/>
        <v>#REF!</v>
      </c>
      <c r="J98" s="126" t="e">
        <f t="shared" si="19"/>
        <v>#REF!</v>
      </c>
      <c r="K98" s="126" t="e">
        <f t="shared" si="19"/>
        <v>#REF!</v>
      </c>
      <c r="L98" s="126" t="e">
        <f t="shared" si="19"/>
        <v>#REF!</v>
      </c>
      <c r="M98" s="126" t="e">
        <f t="shared" si="19"/>
        <v>#REF!</v>
      </c>
      <c r="N98" s="126" t="e">
        <f t="shared" si="19"/>
        <v>#REF!</v>
      </c>
      <c r="O98" s="126" t="e">
        <f t="shared" si="19"/>
        <v>#REF!</v>
      </c>
      <c r="P98" s="126" t="e">
        <f t="shared" si="19"/>
        <v>#REF!</v>
      </c>
      <c r="Q98" s="126"/>
      <c r="R98" s="126"/>
      <c r="S98" s="126" t="e">
        <f>SUM(S96:S97)</f>
        <v>#REF!</v>
      </c>
    </row>
    <row r="99" spans="1:19" s="6" customForma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</row>
    <row r="100" spans="1:19" s="6" customForma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</row>
    <row r="101" spans="1:19" s="6" customForma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</row>
    <row r="102" spans="1:19" s="6" customForma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</row>
    <row r="103" spans="1:19" s="6" customForma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</row>
    <row r="104" spans="1:19" s="6" customForma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</row>
    <row r="105" spans="1:19" s="6" customForma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</row>
    <row r="106" spans="1:19" s="6" customForma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</row>
    <row r="107" spans="1:19" s="6" customForma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1:19" s="6" customForma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09" spans="1:19" s="6" customForma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</row>
    <row r="110" spans="1:19" s="6" customForma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</row>
    <row r="111" spans="1:19" s="6" customForma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1:19" s="6" customForma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1:19" s="6" customForma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1:19" s="6" customForma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1:19" s="6" customForma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1:19" s="6" customForma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1:19" s="6" customForma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1:19" s="6" customForma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1:19" s="6" customForma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</sheetData>
  <mergeCells count="47">
    <mergeCell ref="B17:E17"/>
    <mergeCell ref="K1:S1"/>
    <mergeCell ref="A3:S3"/>
    <mergeCell ref="A5:A6"/>
    <mergeCell ref="B5:B6"/>
    <mergeCell ref="C5:C6"/>
    <mergeCell ref="D5:E5"/>
    <mergeCell ref="F5:F6"/>
    <mergeCell ref="G5:R5"/>
    <mergeCell ref="S5:S6"/>
    <mergeCell ref="B8:E8"/>
    <mergeCell ref="B9:E9"/>
    <mergeCell ref="B10:E10"/>
    <mergeCell ref="B11:E11"/>
    <mergeCell ref="B12:E12"/>
    <mergeCell ref="B39:E39"/>
    <mergeCell ref="B40:E40"/>
    <mergeCell ref="B41:E41"/>
    <mergeCell ref="A42:A44"/>
    <mergeCell ref="C42:C44"/>
    <mergeCell ref="D42:D44"/>
    <mergeCell ref="E42:E44"/>
    <mergeCell ref="B51:E51"/>
    <mergeCell ref="S42:S44"/>
    <mergeCell ref="A45:A47"/>
    <mergeCell ref="C45:C47"/>
    <mergeCell ref="D45:D47"/>
    <mergeCell ref="E45:E47"/>
    <mergeCell ref="S45:S47"/>
    <mergeCell ref="A48:A50"/>
    <mergeCell ref="C48:C50"/>
    <mergeCell ref="D48:D50"/>
    <mergeCell ref="E48:E50"/>
    <mergeCell ref="S48:S50"/>
    <mergeCell ref="B52:E52"/>
    <mergeCell ref="B63:E63"/>
    <mergeCell ref="A64:A66"/>
    <mergeCell ref="C64:C66"/>
    <mergeCell ref="D64:D66"/>
    <mergeCell ref="E64:E66"/>
    <mergeCell ref="A89:S89"/>
    <mergeCell ref="S64:S66"/>
    <mergeCell ref="A67:A69"/>
    <mergeCell ref="C67:C69"/>
    <mergeCell ref="D67:D69"/>
    <mergeCell ref="E67:E69"/>
    <mergeCell ref="S67:S6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0" orientation="landscape" r:id="rId1"/>
  <rowBreaks count="5" manualBreakCount="5">
    <brk id="16" max="18" man="1"/>
    <brk id="29" max="18" man="1"/>
    <brk id="53" max="18" man="1"/>
    <brk id="62" max="18" man="1"/>
    <brk id="7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Zał.1_WPF_bazowy </vt:lpstr>
      <vt:lpstr>Zał. 3-Przedsięwzięcia</vt:lpstr>
      <vt:lpstr>Arkusz1</vt:lpstr>
      <vt:lpstr>Arkusz2</vt:lpstr>
      <vt:lpstr>Arkusz3</vt:lpstr>
      <vt:lpstr>'Zał. 3-Przedsięwzięcia'!Obszar_wydruku</vt:lpstr>
      <vt:lpstr>'Zał.1_WPF_bazowy '!Obszar_wydruku</vt:lpstr>
      <vt:lpstr>'Zał. 3-Przedsięwzięcia'!Tytuły_wydruku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2014-06-18T10:51:42Z</dcterms:modified>
</cp:coreProperties>
</file>