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5820" windowWidth="15330" windowHeight="4335" tabRatio="670" activeTab="3"/>
  </bookViews>
  <sheets>
    <sheet name="Bielkowo (12)" sheetId="1" r:id="rId1"/>
    <sheet name="Cisewo (2)" sheetId="2" r:id="rId2"/>
    <sheet name="Jęczydół (8)" sheetId="3" r:id="rId3"/>
    <sheet name="Kałęga (5)" sheetId="4" r:id="rId4"/>
    <sheet name="Kobylanka (11)" sheetId="5" r:id="rId5"/>
    <sheet name=" Kunowo (1)" sheetId="6" r:id="rId6"/>
    <sheet name="Nowa Kobylanka (14)" sheetId="7" r:id="rId7"/>
    <sheet name="Niedźwiedź (5)" sheetId="8" r:id="rId8"/>
    <sheet name="Morawsko (13)" sheetId="9" r:id="rId9"/>
    <sheet name="Morzyczyn (10)" sheetId="10" r:id="rId10"/>
    <sheet name="Motaniec(6)" sheetId="11" r:id="rId11"/>
    <sheet name="Rekowo(7)" sheetId="12" r:id="rId12"/>
    <sheet name="Reptowo (3)" sheetId="13" r:id="rId13"/>
    <sheet name="Zieleniewo (9)" sheetId="14" r:id="rId14"/>
    <sheet name="zbiorówka " sheetId="15" r:id="rId15"/>
    <sheet name="Arkusz1" sheetId="16" r:id="rId16"/>
  </sheets>
  <definedNames>
    <definedName name="_xlnm._FilterDatabase" localSheetId="5" hidden="1">' Kunowo (1)'!$A$1:$O$65</definedName>
    <definedName name="_xlnm._FilterDatabase" localSheetId="0" hidden="1">'Bielkowo (12)'!$A$1:$O$28</definedName>
    <definedName name="_xlnm._FilterDatabase" localSheetId="1" hidden="1">'Cisewo (2)'!$A$1:$O$15</definedName>
    <definedName name="_xlnm._FilterDatabase" localSheetId="2" hidden="1">'Jęczydół (8)'!$A$1:$O$8</definedName>
    <definedName name="_xlnm._FilterDatabase" localSheetId="3" hidden="1">'Kałęga (5)'!$A$1:$O$11</definedName>
    <definedName name="_xlnm._FilterDatabase" localSheetId="4" hidden="1">'Kobylanka (11)'!$A$1:$O$32</definedName>
    <definedName name="_xlnm._FilterDatabase" localSheetId="8" hidden="1">'Morawsko (13)'!$A$1:$O$2</definedName>
    <definedName name="_xlnm._FilterDatabase" localSheetId="9" hidden="1">'Morzyczyn (10)'!$A$1:$O$15</definedName>
    <definedName name="_xlnm._FilterDatabase" localSheetId="10" hidden="1">'Motaniec(6)'!$A$1:$O$30</definedName>
    <definedName name="_xlnm._FilterDatabase" localSheetId="6" hidden="1">'Nowa Kobylanka (14)'!$A$1:$O$7</definedName>
    <definedName name="_xlnm._FilterDatabase" localSheetId="11" hidden="1">'Rekowo(7)'!$A$1:$O$15</definedName>
    <definedName name="_xlnm._FilterDatabase" localSheetId="12" hidden="1">'Reptowo (3)'!$A$1:$O$68</definedName>
    <definedName name="_xlnm._FilterDatabase" localSheetId="13" hidden="1">'Zieleniewo (9)'!$A$1:$O$12</definedName>
    <definedName name="_xlnm.Print_Area" localSheetId="0">'Bielkowo (12)'!$A$1:$N$40</definedName>
  </definedNames>
  <calcPr fullCalcOnLoad="1"/>
</workbook>
</file>

<file path=xl/sharedStrings.xml><?xml version="1.0" encoding="utf-8"?>
<sst xmlns="http://schemas.openxmlformats.org/spreadsheetml/2006/main" count="2292" uniqueCount="236">
  <si>
    <t>Lp</t>
  </si>
  <si>
    <t>Miejscowość</t>
  </si>
  <si>
    <t>Obręb ewidencyjny</t>
  </si>
  <si>
    <t>Nr działki</t>
  </si>
  <si>
    <t>Rodzaj budynku</t>
  </si>
  <si>
    <t>Rodzaj wyr. azbestowego</t>
  </si>
  <si>
    <t>Ilość m2</t>
  </si>
  <si>
    <t>Ilość Mg</t>
  </si>
  <si>
    <t xml:space="preserve">Ocena stanu </t>
  </si>
  <si>
    <t>Przewidywany rok unieszkodliwienia</t>
  </si>
  <si>
    <t>falista</t>
  </si>
  <si>
    <t>Razem</t>
  </si>
  <si>
    <t>PODSUMOWANIE</t>
  </si>
  <si>
    <t>ilość</t>
  </si>
  <si>
    <t>m2</t>
  </si>
  <si>
    <t>Mg</t>
  </si>
  <si>
    <t>budynki mieszkalne</t>
  </si>
  <si>
    <t>budynki gospodarcze</t>
  </si>
  <si>
    <t>luz</t>
  </si>
  <si>
    <t>płaska</t>
  </si>
  <si>
    <t>PW3A</t>
  </si>
  <si>
    <t>rurociągi</t>
  </si>
  <si>
    <t>Kunowo</t>
  </si>
  <si>
    <t>1</t>
  </si>
  <si>
    <t>2</t>
  </si>
  <si>
    <t>6</t>
  </si>
  <si>
    <t>3</t>
  </si>
  <si>
    <t>18</t>
  </si>
  <si>
    <t>42</t>
  </si>
  <si>
    <t>Cisewo</t>
  </si>
  <si>
    <t>Reptowo</t>
  </si>
  <si>
    <t>100</t>
  </si>
  <si>
    <t>89</t>
  </si>
  <si>
    <t>88</t>
  </si>
  <si>
    <t>83</t>
  </si>
  <si>
    <t>Niedźwiedź</t>
  </si>
  <si>
    <t>Motaniec</t>
  </si>
  <si>
    <t>Rekowo</t>
  </si>
  <si>
    <t>Jęczydół</t>
  </si>
  <si>
    <t>Zieleniewo</t>
  </si>
  <si>
    <t>Morzyczyn</t>
  </si>
  <si>
    <t>Kobylanka</t>
  </si>
  <si>
    <t>301</t>
  </si>
  <si>
    <t>305/2</t>
  </si>
  <si>
    <t>Kałęga</t>
  </si>
  <si>
    <t>Bielkowo</t>
  </si>
  <si>
    <t>85/2</t>
  </si>
  <si>
    <t>94/2</t>
  </si>
  <si>
    <t>97</t>
  </si>
  <si>
    <t>144/2</t>
  </si>
  <si>
    <t>151</t>
  </si>
  <si>
    <t>158</t>
  </si>
  <si>
    <t>159</t>
  </si>
  <si>
    <t>161/3</t>
  </si>
  <si>
    <t>Nowa Kobylanka</t>
  </si>
  <si>
    <t>do 2032</t>
  </si>
  <si>
    <t>do 2022</t>
  </si>
  <si>
    <t>do 2017</t>
  </si>
  <si>
    <t>72/3</t>
  </si>
  <si>
    <t>46/3</t>
  </si>
  <si>
    <t>189</t>
  </si>
  <si>
    <t>513/3</t>
  </si>
  <si>
    <t>214</t>
  </si>
  <si>
    <t>221</t>
  </si>
  <si>
    <t>128</t>
  </si>
  <si>
    <t>262</t>
  </si>
  <si>
    <t>116/5</t>
  </si>
  <si>
    <t>49/2</t>
  </si>
  <si>
    <t>72/1</t>
  </si>
  <si>
    <t>46/8</t>
  </si>
  <si>
    <t>46/5</t>
  </si>
  <si>
    <t>390</t>
  </si>
  <si>
    <t>2017</t>
  </si>
  <si>
    <t>2022</t>
  </si>
  <si>
    <t>2032</t>
  </si>
  <si>
    <t>Luz</t>
  </si>
  <si>
    <t>Rodzaj azbestu</t>
  </si>
  <si>
    <t>płyty faliste</t>
  </si>
  <si>
    <t>płyty płaskie</t>
  </si>
  <si>
    <t>płyty płaskie (PW3A)</t>
  </si>
  <si>
    <t>pow. m2</t>
  </si>
  <si>
    <t>Masa Mg</t>
  </si>
  <si>
    <t>Wielichówko</t>
  </si>
  <si>
    <t>OGÓŁEM</t>
  </si>
  <si>
    <t>Ilość miejsc występowania wyrobów zawierających azbest</t>
  </si>
  <si>
    <t>szt</t>
  </si>
  <si>
    <t>Łączna powierzchnia budynków pokrytych płytami azbestowo-cementowymi</t>
  </si>
  <si>
    <t>Łączna masa wyrobów azbestowych (razem z luzem)</t>
  </si>
  <si>
    <t>76</t>
  </si>
  <si>
    <t>213</t>
  </si>
  <si>
    <t>90/2</t>
  </si>
  <si>
    <t>141/2</t>
  </si>
  <si>
    <t>741/1</t>
  </si>
  <si>
    <t>243</t>
  </si>
  <si>
    <t>241/10</t>
  </si>
  <si>
    <t>240/1</t>
  </si>
  <si>
    <t>239</t>
  </si>
  <si>
    <t>766/6</t>
  </si>
  <si>
    <t>211/1</t>
  </si>
  <si>
    <t>212/4</t>
  </si>
  <si>
    <t>205/5</t>
  </si>
  <si>
    <t>227</t>
  </si>
  <si>
    <t>217</t>
  </si>
  <si>
    <t>165/1</t>
  </si>
  <si>
    <t>398/1</t>
  </si>
  <si>
    <t>164/3</t>
  </si>
  <si>
    <t>394</t>
  </si>
  <si>
    <t>392</t>
  </si>
  <si>
    <t>161/7</t>
  </si>
  <si>
    <t>163/1</t>
  </si>
  <si>
    <t>159/7</t>
  </si>
  <si>
    <t>136</t>
  </si>
  <si>
    <t>131/1</t>
  </si>
  <si>
    <t>72/11</t>
  </si>
  <si>
    <t>71/1</t>
  </si>
  <si>
    <t>69/1</t>
  </si>
  <si>
    <t>65</t>
  </si>
  <si>
    <t>176/4</t>
  </si>
  <si>
    <t>212/1</t>
  </si>
  <si>
    <t>50/1</t>
  </si>
  <si>
    <t>168/3</t>
  </si>
  <si>
    <t>167/2</t>
  </si>
  <si>
    <t>166/6</t>
  </si>
  <si>
    <t>190</t>
  </si>
  <si>
    <t>192/1</t>
  </si>
  <si>
    <t>127/10; 127/11</t>
  </si>
  <si>
    <t>110/2</t>
  </si>
  <si>
    <t>171/1</t>
  </si>
  <si>
    <t>163/4</t>
  </si>
  <si>
    <t>184/4</t>
  </si>
  <si>
    <t>167/5</t>
  </si>
  <si>
    <t>154</t>
  </si>
  <si>
    <t>186/1</t>
  </si>
  <si>
    <t>168</t>
  </si>
  <si>
    <t>194</t>
  </si>
  <si>
    <t>195</t>
  </si>
  <si>
    <t>198</t>
  </si>
  <si>
    <t>200</t>
  </si>
  <si>
    <t>210</t>
  </si>
  <si>
    <t>245</t>
  </si>
  <si>
    <t>244</t>
  </si>
  <si>
    <t>366/2</t>
  </si>
  <si>
    <t>usunięto w 2008 nie ma luzu</t>
  </si>
  <si>
    <t>185</t>
  </si>
  <si>
    <t>181</t>
  </si>
  <si>
    <t>182</t>
  </si>
  <si>
    <t>177</t>
  </si>
  <si>
    <t>176</t>
  </si>
  <si>
    <t>175</t>
  </si>
  <si>
    <t>172</t>
  </si>
  <si>
    <t>166</t>
  </si>
  <si>
    <t>165</t>
  </si>
  <si>
    <t>164</t>
  </si>
  <si>
    <t>153</t>
  </si>
  <si>
    <t>143</t>
  </si>
  <si>
    <t>139</t>
  </si>
  <si>
    <t>138</t>
  </si>
  <si>
    <t>134</t>
  </si>
  <si>
    <t>125/1</t>
  </si>
  <si>
    <t>121</t>
  </si>
  <si>
    <t>123</t>
  </si>
  <si>
    <t>264</t>
  </si>
  <si>
    <t>248</t>
  </si>
  <si>
    <t>249</t>
  </si>
  <si>
    <t>255</t>
  </si>
  <si>
    <t>242</t>
  </si>
  <si>
    <t>238/2</t>
  </si>
  <si>
    <t>228</t>
  </si>
  <si>
    <t>226</t>
  </si>
  <si>
    <t>198/3</t>
  </si>
  <si>
    <t>193/1</t>
  </si>
  <si>
    <t>202/3</t>
  </si>
  <si>
    <t>202/1</t>
  </si>
  <si>
    <t>108/3</t>
  </si>
  <si>
    <t>142/1</t>
  </si>
  <si>
    <t>156/2</t>
  </si>
  <si>
    <t>67/5</t>
  </si>
  <si>
    <t>47/4</t>
  </si>
  <si>
    <t>45/4</t>
  </si>
  <si>
    <t>147/1</t>
  </si>
  <si>
    <t>Morawsko</t>
  </si>
  <si>
    <t>855/26</t>
  </si>
  <si>
    <t>331</t>
  </si>
  <si>
    <t>279/2</t>
  </si>
  <si>
    <t>93/1</t>
  </si>
  <si>
    <t>55</t>
  </si>
  <si>
    <t>101</t>
  </si>
  <si>
    <t>104/1</t>
  </si>
  <si>
    <t>109</t>
  </si>
  <si>
    <t>45/6</t>
  </si>
  <si>
    <t>174/3</t>
  </si>
  <si>
    <t>62/4</t>
  </si>
  <si>
    <t>55/2</t>
  </si>
  <si>
    <t>54/4</t>
  </si>
  <si>
    <t>53/1</t>
  </si>
  <si>
    <t>129</t>
  </si>
  <si>
    <t>45/5</t>
  </si>
  <si>
    <t>98/2</t>
  </si>
  <si>
    <t>167</t>
  </si>
  <si>
    <t>633/9</t>
  </si>
  <si>
    <t>budynek gospodarczy</t>
  </si>
  <si>
    <t>322</t>
  </si>
  <si>
    <t>289/2</t>
  </si>
  <si>
    <t>216</t>
  </si>
  <si>
    <t>256/5</t>
  </si>
  <si>
    <t>144</t>
  </si>
  <si>
    <t>2014</t>
  </si>
  <si>
    <t>7/3</t>
  </si>
  <si>
    <t>129/17</t>
  </si>
  <si>
    <t>129/24</t>
  </si>
  <si>
    <t>385</t>
  </si>
  <si>
    <t>366/3</t>
  </si>
  <si>
    <t>133/3</t>
  </si>
  <si>
    <t>435/2</t>
  </si>
  <si>
    <t>336/7</t>
  </si>
  <si>
    <t>46/4</t>
  </si>
  <si>
    <t>513/2</t>
  </si>
  <si>
    <t>415/1</t>
  </si>
  <si>
    <t>176/2</t>
  </si>
  <si>
    <t>134/2</t>
  </si>
  <si>
    <t>513/1</t>
  </si>
  <si>
    <t xml:space="preserve">luz </t>
  </si>
  <si>
    <t>203/9</t>
  </si>
  <si>
    <t>133</t>
  </si>
  <si>
    <t>204/1</t>
  </si>
  <si>
    <t>do 2014</t>
  </si>
  <si>
    <t>do 2014 m2</t>
  </si>
  <si>
    <t>do 2017m2</t>
  </si>
  <si>
    <t>do 2022m2</t>
  </si>
  <si>
    <t>do 2032m2</t>
  </si>
  <si>
    <t>do 2014m2</t>
  </si>
  <si>
    <t>usunięta w  2013</t>
  </si>
  <si>
    <t>w 2013</t>
  </si>
  <si>
    <t>w 2014</t>
  </si>
  <si>
    <t>w 2013m2</t>
  </si>
  <si>
    <t>390/2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</si>
</sst>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#,##0.0000"/>
  </numFmts>
  <fonts count="4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6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67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1" fillId="0" borderId="0" xfId="0" applyNumberFormat="1" applyFont="1" applyAlignment="1">
      <alignment/>
    </xf>
    <xf numFmtId="165" fontId="1" fillId="0" borderId="11" xfId="0" applyNumberFormat="1" applyFont="1" applyBorder="1" applyAlignment="1">
      <alignment/>
    </xf>
    <xf numFmtId="165" fontId="1" fillId="0" borderId="11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 vertical="center"/>
    </xf>
    <xf numFmtId="165" fontId="3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 vertical="center"/>
    </xf>
    <xf numFmtId="165" fontId="1" fillId="0" borderId="0" xfId="0" applyNumberFormat="1" applyFont="1" applyFill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164" fontId="1" fillId="34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vertical="center" wrapText="1"/>
    </xf>
    <xf numFmtId="164" fontId="1" fillId="35" borderId="10" xfId="0" applyNumberFormat="1" applyFont="1" applyFill="1" applyBorder="1" applyAlignment="1">
      <alignment vertical="center"/>
    </xf>
    <xf numFmtId="165" fontId="1" fillId="35" borderId="10" xfId="0" applyNumberFormat="1" applyFont="1" applyFill="1" applyBorder="1" applyAlignment="1">
      <alignment vertical="center"/>
    </xf>
    <xf numFmtId="49" fontId="1" fillId="35" borderId="10" xfId="0" applyNumberFormat="1" applyFont="1" applyFill="1" applyBorder="1" applyAlignment="1">
      <alignment horizontal="center" vertical="center"/>
    </xf>
    <xf numFmtId="164" fontId="1" fillId="35" borderId="10" xfId="0" applyNumberFormat="1" applyFont="1" applyFill="1" applyBorder="1" applyAlignment="1">
      <alignment horizontal="right" vertical="center"/>
    </xf>
    <xf numFmtId="0" fontId="1" fillId="35" borderId="0" xfId="0" applyFont="1" applyFill="1" applyAlignment="1">
      <alignment vertic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wrapText="1"/>
    </xf>
    <xf numFmtId="164" fontId="1" fillId="35" borderId="10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 vertic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wrapText="1"/>
    </xf>
    <xf numFmtId="49" fontId="1" fillId="35" borderId="0" xfId="0" applyNumberFormat="1" applyFont="1" applyFill="1" applyAlignment="1">
      <alignment wrapText="1"/>
    </xf>
    <xf numFmtId="164" fontId="3" fillId="35" borderId="0" xfId="0" applyNumberFormat="1" applyFont="1" applyFill="1" applyAlignment="1">
      <alignment/>
    </xf>
    <xf numFmtId="165" fontId="3" fillId="35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0" fontId="1" fillId="35" borderId="0" xfId="0" applyFont="1" applyFill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right"/>
    </xf>
    <xf numFmtId="0" fontId="1" fillId="35" borderId="0" xfId="0" applyFont="1" applyFill="1" applyAlignment="1">
      <alignment horizontal="right"/>
    </xf>
    <xf numFmtId="165" fontId="1" fillId="35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1" fillId="36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vertical="center" wrapText="1"/>
    </xf>
    <xf numFmtId="49" fontId="1" fillId="36" borderId="10" xfId="0" applyNumberFormat="1" applyFont="1" applyFill="1" applyBorder="1" applyAlignment="1">
      <alignment vertical="center" wrapText="1"/>
    </xf>
    <xf numFmtId="164" fontId="1" fillId="36" borderId="10" xfId="0" applyNumberFormat="1" applyFont="1" applyFill="1" applyBorder="1" applyAlignment="1">
      <alignment vertical="center"/>
    </xf>
    <xf numFmtId="165" fontId="1" fillId="36" borderId="10" xfId="0" applyNumberFormat="1" applyFont="1" applyFill="1" applyBorder="1" applyAlignment="1">
      <alignment vertical="center"/>
    </xf>
    <xf numFmtId="49" fontId="1" fillId="36" borderId="10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49" fontId="1" fillId="36" borderId="10" xfId="0" applyNumberFormat="1" applyFont="1" applyFill="1" applyBorder="1" applyAlignment="1">
      <alignment wrapText="1"/>
    </xf>
    <xf numFmtId="164" fontId="1" fillId="36" borderId="10" xfId="0" applyNumberFormat="1" applyFont="1" applyFill="1" applyBorder="1" applyAlignment="1">
      <alignment/>
    </xf>
    <xf numFmtId="165" fontId="1" fillId="36" borderId="10" xfId="0" applyNumberFormat="1" applyFont="1" applyFill="1" applyBorder="1" applyAlignment="1">
      <alignment/>
    </xf>
    <xf numFmtId="49" fontId="1" fillId="36" borderId="10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wrapText="1"/>
    </xf>
    <xf numFmtId="49" fontId="1" fillId="36" borderId="0" xfId="0" applyNumberFormat="1" applyFont="1" applyFill="1" applyAlignment="1">
      <alignment wrapText="1"/>
    </xf>
    <xf numFmtId="165" fontId="1" fillId="36" borderId="0" xfId="0" applyNumberFormat="1" applyFont="1" applyFill="1" applyAlignment="1">
      <alignment/>
    </xf>
    <xf numFmtId="49" fontId="1" fillId="36" borderId="0" xfId="0" applyNumberFormat="1" applyFont="1" applyFill="1" applyAlignment="1">
      <alignment/>
    </xf>
    <xf numFmtId="0" fontId="1" fillId="36" borderId="0" xfId="0" applyFont="1" applyFill="1" applyAlignment="1">
      <alignment horizontal="right"/>
    </xf>
    <xf numFmtId="164" fontId="3" fillId="36" borderId="0" xfId="0" applyNumberFormat="1" applyFont="1" applyFill="1" applyAlignment="1">
      <alignment/>
    </xf>
    <xf numFmtId="165" fontId="3" fillId="36" borderId="0" xfId="0" applyNumberFormat="1" applyFont="1" applyFill="1" applyAlignment="1">
      <alignment/>
    </xf>
    <xf numFmtId="4" fontId="3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 horizontal="center"/>
    </xf>
    <xf numFmtId="3" fontId="1" fillId="36" borderId="10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165" fontId="1" fillId="36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/>
    </xf>
    <xf numFmtId="3" fontId="1" fillId="35" borderId="0" xfId="0" applyNumberFormat="1" applyFont="1" applyFill="1" applyAlignment="1">
      <alignment/>
    </xf>
    <xf numFmtId="165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 vertical="center"/>
    </xf>
    <xf numFmtId="165" fontId="3" fillId="35" borderId="13" xfId="0" applyNumberFormat="1" applyFont="1" applyFill="1" applyBorder="1" applyAlignment="1">
      <alignment/>
    </xf>
    <xf numFmtId="3" fontId="3" fillId="35" borderId="13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167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67" fontId="1" fillId="35" borderId="0" xfId="0" applyNumberFormat="1" applyFont="1" applyFill="1" applyAlignment="1">
      <alignment vertical="center"/>
    </xf>
    <xf numFmtId="3" fontId="1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49" fontId="1" fillId="36" borderId="10" xfId="0" applyNumberFormat="1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3" fontId="1" fillId="36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/>
    </xf>
    <xf numFmtId="0" fontId="3" fillId="35" borderId="17" xfId="0" applyFont="1" applyFill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/>
    </xf>
    <xf numFmtId="49" fontId="1" fillId="35" borderId="17" xfId="0" applyNumberFormat="1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vertical="center"/>
    </xf>
    <xf numFmtId="49" fontId="1" fillId="35" borderId="0" xfId="0" applyNumberFormat="1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horizontal="right" vertical="center" wrapText="1"/>
    </xf>
    <xf numFmtId="49" fontId="1" fillId="35" borderId="16" xfId="0" applyNumberFormat="1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right" vertical="center"/>
    </xf>
    <xf numFmtId="0" fontId="2" fillId="35" borderId="16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vertical="center"/>
    </xf>
    <xf numFmtId="49" fontId="1" fillId="35" borderId="16" xfId="0" applyNumberFormat="1" applyFont="1" applyFill="1" applyBorder="1" applyAlignment="1">
      <alignment horizontal="right" vertical="center"/>
    </xf>
    <xf numFmtId="0" fontId="1" fillId="35" borderId="16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35" borderId="16" xfId="0" applyFont="1" applyFill="1" applyBorder="1" applyAlignment="1">
      <alignment horizontal="right"/>
    </xf>
    <xf numFmtId="0" fontId="1" fillId="0" borderId="16" xfId="0" applyFont="1" applyBorder="1" applyAlignment="1">
      <alignment horizontal="right" vertical="center"/>
    </xf>
    <xf numFmtId="0" fontId="2" fillId="35" borderId="16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 wrapText="1"/>
    </xf>
    <xf numFmtId="3" fontId="1" fillId="35" borderId="10" xfId="0" applyNumberFormat="1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 vertical="center" wrapText="1"/>
    </xf>
    <xf numFmtId="49" fontId="1" fillId="36" borderId="17" xfId="0" applyNumberFormat="1" applyFont="1" applyFill="1" applyBorder="1" applyAlignment="1">
      <alignment horizontal="center" vertical="center"/>
    </xf>
    <xf numFmtId="49" fontId="1" fillId="36" borderId="17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/>
    </xf>
    <xf numFmtId="0" fontId="2" fillId="36" borderId="16" xfId="0" applyFont="1" applyFill="1" applyBorder="1" applyAlignment="1">
      <alignment horizontal="right" vertical="center" wrapText="1"/>
    </xf>
    <xf numFmtId="0" fontId="1" fillId="36" borderId="16" xfId="0" applyFont="1" applyFill="1" applyBorder="1" applyAlignment="1">
      <alignment horizontal="right" vertical="center"/>
    </xf>
    <xf numFmtId="0" fontId="1" fillId="36" borderId="16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165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 horizontal="center"/>
    </xf>
    <xf numFmtId="167" fontId="1" fillId="33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/>
    </xf>
    <xf numFmtId="165" fontId="1" fillId="33" borderId="11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 vertical="center"/>
    </xf>
    <xf numFmtId="1" fontId="3" fillId="33" borderId="13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167" fontId="1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7" fontId="1" fillId="33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H33" sqref="H33"/>
    </sheetView>
  </sheetViews>
  <sheetFormatPr defaultColWidth="9.140625" defaultRowHeight="12.75" outlineLevelCol="1"/>
  <cols>
    <col min="1" max="1" width="4.7109375" style="2" customWidth="1"/>
    <col min="2" max="2" width="12.28125" style="2" customWidth="1"/>
    <col min="3" max="3" width="14.140625" style="3" customWidth="1" outlineLevel="1"/>
    <col min="4" max="4" width="9.14062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1" width="9.140625" style="2" customWidth="1" outlineLevel="1"/>
    <col min="12" max="13" width="9.8515625" style="2" customWidth="1"/>
    <col min="14" max="14" width="10.28125" style="2" customWidth="1"/>
    <col min="15" max="15" width="10.140625" style="2" customWidth="1"/>
    <col min="16" max="16384" width="9.140625" style="2" customWidth="1"/>
  </cols>
  <sheetData>
    <row r="1" spans="1:15" s="1" customFormat="1" ht="45">
      <c r="A1" s="78" t="s">
        <v>0</v>
      </c>
      <c r="B1" s="78" t="s">
        <v>1</v>
      </c>
      <c r="C1" s="78" t="s">
        <v>2</v>
      </c>
      <c r="D1" s="79" t="s">
        <v>3</v>
      </c>
      <c r="E1" s="78"/>
      <c r="F1" s="78" t="s">
        <v>4</v>
      </c>
      <c r="G1" s="78" t="s">
        <v>5</v>
      </c>
      <c r="H1" s="78" t="s">
        <v>6</v>
      </c>
      <c r="I1" s="78" t="s">
        <v>7</v>
      </c>
      <c r="J1" s="78" t="s">
        <v>8</v>
      </c>
      <c r="K1" s="80" t="s">
        <v>9</v>
      </c>
      <c r="L1" s="200"/>
      <c r="M1" s="201"/>
      <c r="N1" s="201"/>
      <c r="O1" s="201"/>
    </row>
    <row r="2" spans="1:15" s="1" customFormat="1" ht="12">
      <c r="A2" s="81">
        <v>1</v>
      </c>
      <c r="B2" s="81" t="s">
        <v>45</v>
      </c>
      <c r="C2" s="177" t="s">
        <v>45</v>
      </c>
      <c r="D2" s="83" t="s">
        <v>27</v>
      </c>
      <c r="E2" s="81">
        <v>2</v>
      </c>
      <c r="F2" s="81" t="str">
        <f aca="true" t="shared" si="0" ref="F2:F24">IF(E2=2,"budynek gospodarczy","budynek mieszkalny")</f>
        <v>budynek gospodarczy</v>
      </c>
      <c r="G2" s="81" t="s">
        <v>10</v>
      </c>
      <c r="H2" s="84">
        <f>6*2*30</f>
        <v>360</v>
      </c>
      <c r="I2" s="85">
        <f>0.017*H2</f>
        <v>6.12</v>
      </c>
      <c r="J2" s="86" t="s">
        <v>26</v>
      </c>
      <c r="K2" s="86" t="s">
        <v>74</v>
      </c>
      <c r="L2" s="202"/>
      <c r="M2" s="203"/>
      <c r="N2" s="203"/>
      <c r="O2" s="204"/>
    </row>
    <row r="3" spans="1:15" s="1" customFormat="1" ht="12">
      <c r="A3" s="81">
        <v>2</v>
      </c>
      <c r="B3" s="81" t="s">
        <v>45</v>
      </c>
      <c r="C3" s="177" t="s">
        <v>45</v>
      </c>
      <c r="D3" s="83" t="s">
        <v>27</v>
      </c>
      <c r="E3" s="81">
        <v>2</v>
      </c>
      <c r="F3" s="81" t="str">
        <f t="shared" si="0"/>
        <v>budynek gospodarczy</v>
      </c>
      <c r="G3" s="81" t="s">
        <v>10</v>
      </c>
      <c r="H3" s="84">
        <f>6*2*12</f>
        <v>144</v>
      </c>
      <c r="I3" s="85">
        <f aca="true" t="shared" si="1" ref="I3:I24">0.017*H3</f>
        <v>2.4480000000000004</v>
      </c>
      <c r="J3" s="86" t="s">
        <v>26</v>
      </c>
      <c r="K3" s="86" t="s">
        <v>74</v>
      </c>
      <c r="L3" s="202"/>
      <c r="M3" s="203"/>
      <c r="N3" s="203"/>
      <c r="O3" s="204"/>
    </row>
    <row r="4" spans="1:15" s="1" customFormat="1" ht="12">
      <c r="A4" s="81">
        <v>3</v>
      </c>
      <c r="B4" s="81" t="s">
        <v>45</v>
      </c>
      <c r="C4" s="177" t="s">
        <v>45</v>
      </c>
      <c r="D4" s="83" t="s">
        <v>27</v>
      </c>
      <c r="E4" s="81">
        <v>2</v>
      </c>
      <c r="F4" s="81" t="str">
        <f t="shared" si="0"/>
        <v>budynek gospodarczy</v>
      </c>
      <c r="G4" s="81" t="s">
        <v>10</v>
      </c>
      <c r="H4" s="84">
        <v>50</v>
      </c>
      <c r="I4" s="85">
        <f t="shared" si="1"/>
        <v>0.8500000000000001</v>
      </c>
      <c r="J4" s="86" t="s">
        <v>23</v>
      </c>
      <c r="K4" s="176" t="s">
        <v>206</v>
      </c>
      <c r="L4" s="202"/>
      <c r="M4" s="203"/>
      <c r="N4" s="203"/>
      <c r="O4" s="204"/>
    </row>
    <row r="5" spans="1:15" s="1" customFormat="1" ht="12">
      <c r="A5" s="81">
        <v>4</v>
      </c>
      <c r="B5" s="81" t="s">
        <v>45</v>
      </c>
      <c r="C5" s="177" t="s">
        <v>45</v>
      </c>
      <c r="D5" s="83" t="s">
        <v>27</v>
      </c>
      <c r="E5" s="81">
        <v>2</v>
      </c>
      <c r="F5" s="81" t="str">
        <f t="shared" si="0"/>
        <v>budynek gospodarczy</v>
      </c>
      <c r="G5" s="81" t="s">
        <v>10</v>
      </c>
      <c r="H5" s="84">
        <f>9*6</f>
        <v>54</v>
      </c>
      <c r="I5" s="85">
        <f t="shared" si="1"/>
        <v>0.918</v>
      </c>
      <c r="J5" s="86" t="s">
        <v>24</v>
      </c>
      <c r="K5" s="86" t="s">
        <v>73</v>
      </c>
      <c r="L5" s="202"/>
      <c r="M5" s="203"/>
      <c r="N5" s="203"/>
      <c r="O5" s="204"/>
    </row>
    <row r="6" spans="1:15" s="1" customFormat="1" ht="12">
      <c r="A6" s="81">
        <v>5</v>
      </c>
      <c r="B6" s="81" t="s">
        <v>45</v>
      </c>
      <c r="C6" s="177" t="s">
        <v>45</v>
      </c>
      <c r="D6" s="83" t="s">
        <v>27</v>
      </c>
      <c r="E6" s="81">
        <v>2</v>
      </c>
      <c r="F6" s="81" t="str">
        <f t="shared" si="0"/>
        <v>budynek gospodarczy</v>
      </c>
      <c r="G6" s="81" t="s">
        <v>10</v>
      </c>
      <c r="H6" s="84">
        <f>6*10</f>
        <v>60</v>
      </c>
      <c r="I6" s="85">
        <f t="shared" si="1"/>
        <v>1.02</v>
      </c>
      <c r="J6" s="86" t="s">
        <v>24</v>
      </c>
      <c r="K6" s="86" t="s">
        <v>73</v>
      </c>
      <c r="L6" s="202"/>
      <c r="M6" s="203"/>
      <c r="N6" s="203"/>
      <c r="O6" s="204"/>
    </row>
    <row r="7" spans="1:15" s="1" customFormat="1" ht="12">
      <c r="A7" s="81">
        <v>6</v>
      </c>
      <c r="B7" s="81" t="s">
        <v>45</v>
      </c>
      <c r="C7" s="177" t="s">
        <v>45</v>
      </c>
      <c r="D7" s="83" t="s">
        <v>27</v>
      </c>
      <c r="E7" s="81">
        <v>2</v>
      </c>
      <c r="F7" s="81" t="str">
        <f t="shared" si="0"/>
        <v>budynek gospodarczy</v>
      </c>
      <c r="G7" s="81" t="s">
        <v>10</v>
      </c>
      <c r="H7" s="84">
        <f>9*9</f>
        <v>81</v>
      </c>
      <c r="I7" s="85">
        <f t="shared" si="1"/>
        <v>1.377</v>
      </c>
      <c r="J7" s="86" t="s">
        <v>24</v>
      </c>
      <c r="K7" s="86" t="s">
        <v>73</v>
      </c>
      <c r="L7" s="202"/>
      <c r="M7" s="203"/>
      <c r="N7" s="203"/>
      <c r="O7" s="204"/>
    </row>
    <row r="8" spans="1:15" s="1" customFormat="1" ht="12">
      <c r="A8" s="81">
        <v>7</v>
      </c>
      <c r="B8" s="44" t="s">
        <v>45</v>
      </c>
      <c r="C8" s="177" t="s">
        <v>45</v>
      </c>
      <c r="D8" s="178" t="s">
        <v>27</v>
      </c>
      <c r="E8" s="81">
        <v>3</v>
      </c>
      <c r="F8" s="179" t="s">
        <v>18</v>
      </c>
      <c r="G8" s="44" t="s">
        <v>10</v>
      </c>
      <c r="H8" s="84">
        <v>180</v>
      </c>
      <c r="I8" s="85">
        <f t="shared" si="1"/>
        <v>3.06</v>
      </c>
      <c r="J8" s="176" t="s">
        <v>23</v>
      </c>
      <c r="K8" s="176" t="s">
        <v>206</v>
      </c>
      <c r="L8" s="202"/>
      <c r="M8" s="203"/>
      <c r="N8" s="203"/>
      <c r="O8" s="204"/>
    </row>
    <row r="9" spans="1:15" s="63" customFormat="1" ht="11.25">
      <c r="A9" s="81">
        <v>8</v>
      </c>
      <c r="B9" s="81" t="s">
        <v>45</v>
      </c>
      <c r="C9" s="177" t="s">
        <v>45</v>
      </c>
      <c r="D9" s="83" t="s">
        <v>46</v>
      </c>
      <c r="E9" s="81">
        <v>2</v>
      </c>
      <c r="F9" s="81" t="str">
        <f t="shared" si="0"/>
        <v>budynek gospodarczy</v>
      </c>
      <c r="G9" s="81" t="s">
        <v>10</v>
      </c>
      <c r="H9" s="84">
        <f>5*2*24</f>
        <v>240</v>
      </c>
      <c r="I9" s="85">
        <f t="shared" si="1"/>
        <v>4.08</v>
      </c>
      <c r="J9" s="86" t="s">
        <v>26</v>
      </c>
      <c r="K9" s="86" t="s">
        <v>74</v>
      </c>
      <c r="L9" s="202"/>
      <c r="M9" s="203"/>
      <c r="N9" s="203"/>
      <c r="O9" s="204"/>
    </row>
    <row r="10" spans="1:15" s="63" customFormat="1" ht="11.25">
      <c r="A10" s="81">
        <v>9</v>
      </c>
      <c r="B10" s="81" t="s">
        <v>45</v>
      </c>
      <c r="C10" s="177" t="s">
        <v>45</v>
      </c>
      <c r="D10" s="83" t="s">
        <v>32</v>
      </c>
      <c r="E10" s="81">
        <v>0</v>
      </c>
      <c r="F10" s="81" t="str">
        <f t="shared" si="0"/>
        <v>budynek mieszkalny</v>
      </c>
      <c r="G10" s="81" t="s">
        <v>10</v>
      </c>
      <c r="H10" s="84">
        <f>2*2*2</f>
        <v>8</v>
      </c>
      <c r="I10" s="85">
        <f t="shared" si="1"/>
        <v>0.136</v>
      </c>
      <c r="J10" s="86" t="s">
        <v>23</v>
      </c>
      <c r="K10" s="86" t="s">
        <v>72</v>
      </c>
      <c r="L10" s="202"/>
      <c r="M10" s="204"/>
      <c r="N10" s="204"/>
      <c r="O10" s="204"/>
    </row>
    <row r="11" spans="1:15" s="63" customFormat="1" ht="11.25">
      <c r="A11" s="81">
        <v>10</v>
      </c>
      <c r="B11" s="81" t="s">
        <v>45</v>
      </c>
      <c r="C11" s="177" t="s">
        <v>45</v>
      </c>
      <c r="D11" s="83" t="s">
        <v>47</v>
      </c>
      <c r="E11" s="81">
        <v>0</v>
      </c>
      <c r="F11" s="81" t="str">
        <f t="shared" si="0"/>
        <v>budynek mieszkalny</v>
      </c>
      <c r="G11" s="81" t="s">
        <v>10</v>
      </c>
      <c r="H11" s="84">
        <f>5*2*8</f>
        <v>80</v>
      </c>
      <c r="I11" s="85">
        <f t="shared" si="1"/>
        <v>1.36</v>
      </c>
      <c r="J11" s="86" t="s">
        <v>24</v>
      </c>
      <c r="K11" s="86" t="s">
        <v>73</v>
      </c>
      <c r="L11" s="202"/>
      <c r="M11" s="204"/>
      <c r="N11" s="204"/>
      <c r="O11" s="204"/>
    </row>
    <row r="12" spans="1:15" s="63" customFormat="1" ht="11.25">
      <c r="A12" s="81">
        <v>11</v>
      </c>
      <c r="B12" s="81" t="s">
        <v>45</v>
      </c>
      <c r="C12" s="177" t="s">
        <v>45</v>
      </c>
      <c r="D12" s="83" t="s">
        <v>48</v>
      </c>
      <c r="E12" s="81">
        <v>2</v>
      </c>
      <c r="F12" s="81" t="str">
        <f t="shared" si="0"/>
        <v>budynek gospodarczy</v>
      </c>
      <c r="G12" s="81" t="s">
        <v>10</v>
      </c>
      <c r="H12" s="84">
        <f>5*2*20</f>
        <v>200</v>
      </c>
      <c r="I12" s="85">
        <f t="shared" si="1"/>
        <v>3.4000000000000004</v>
      </c>
      <c r="J12" s="86" t="s">
        <v>26</v>
      </c>
      <c r="K12" s="86" t="s">
        <v>74</v>
      </c>
      <c r="L12" s="202"/>
      <c r="M12" s="204"/>
      <c r="N12" s="204"/>
      <c r="O12" s="204"/>
    </row>
    <row r="13" spans="1:15" s="63" customFormat="1" ht="11.25">
      <c r="A13" s="81">
        <v>12</v>
      </c>
      <c r="B13" s="81" t="s">
        <v>45</v>
      </c>
      <c r="C13" s="177" t="s">
        <v>45</v>
      </c>
      <c r="D13" s="83" t="s">
        <v>31</v>
      </c>
      <c r="E13" s="81">
        <v>2</v>
      </c>
      <c r="F13" s="81" t="str">
        <f t="shared" si="0"/>
        <v>budynek gospodarczy</v>
      </c>
      <c r="G13" s="81" t="s">
        <v>10</v>
      </c>
      <c r="H13" s="84">
        <f>5*12</f>
        <v>60</v>
      </c>
      <c r="I13" s="85">
        <f t="shared" si="1"/>
        <v>1.02</v>
      </c>
      <c r="J13" s="86" t="s">
        <v>26</v>
      </c>
      <c r="K13" s="86" t="s">
        <v>74</v>
      </c>
      <c r="L13" s="202"/>
      <c r="M13" s="204"/>
      <c r="N13" s="204"/>
      <c r="O13" s="204"/>
    </row>
    <row r="14" spans="1:15" s="63" customFormat="1" ht="11.25">
      <c r="A14" s="81">
        <v>13</v>
      </c>
      <c r="B14" s="81" t="s">
        <v>45</v>
      </c>
      <c r="C14" s="177" t="s">
        <v>45</v>
      </c>
      <c r="D14" s="83" t="s">
        <v>31</v>
      </c>
      <c r="E14" s="81">
        <v>2</v>
      </c>
      <c r="F14" s="81" t="str">
        <f t="shared" si="0"/>
        <v>budynek gospodarczy</v>
      </c>
      <c r="G14" s="81" t="s">
        <v>10</v>
      </c>
      <c r="H14" s="84">
        <f>6*16</f>
        <v>96</v>
      </c>
      <c r="I14" s="85">
        <f t="shared" si="1"/>
        <v>1.6320000000000001</v>
      </c>
      <c r="J14" s="86" t="s">
        <v>26</v>
      </c>
      <c r="K14" s="86" t="s">
        <v>74</v>
      </c>
      <c r="L14" s="202"/>
      <c r="M14" s="204"/>
      <c r="N14" s="204"/>
      <c r="O14" s="204"/>
    </row>
    <row r="15" spans="1:15" s="63" customFormat="1" ht="11.25">
      <c r="A15" s="81">
        <v>14</v>
      </c>
      <c r="B15" s="81" t="s">
        <v>45</v>
      </c>
      <c r="C15" s="177" t="s">
        <v>45</v>
      </c>
      <c r="D15" s="83" t="s">
        <v>49</v>
      </c>
      <c r="E15" s="81">
        <v>0</v>
      </c>
      <c r="F15" s="81" t="str">
        <f t="shared" si="0"/>
        <v>budynek mieszkalny</v>
      </c>
      <c r="G15" s="81" t="s">
        <v>10</v>
      </c>
      <c r="H15" s="84">
        <f>6*2*10</f>
        <v>120</v>
      </c>
      <c r="I15" s="85">
        <f t="shared" si="1"/>
        <v>2.04</v>
      </c>
      <c r="J15" s="86" t="s">
        <v>24</v>
      </c>
      <c r="K15" s="86" t="s">
        <v>73</v>
      </c>
      <c r="L15" s="202"/>
      <c r="M15" s="204"/>
      <c r="N15" s="204"/>
      <c r="O15" s="204"/>
    </row>
    <row r="16" spans="1:15" s="63" customFormat="1" ht="11.25">
      <c r="A16" s="81">
        <v>15</v>
      </c>
      <c r="B16" s="81" t="s">
        <v>45</v>
      </c>
      <c r="C16" s="177" t="s">
        <v>45</v>
      </c>
      <c r="D16" s="83" t="s">
        <v>49</v>
      </c>
      <c r="E16" s="81">
        <v>2</v>
      </c>
      <c r="F16" s="81" t="str">
        <f t="shared" si="0"/>
        <v>budynek gospodarczy</v>
      </c>
      <c r="G16" s="81" t="s">
        <v>10</v>
      </c>
      <c r="H16" s="84">
        <f>6*2*20</f>
        <v>240</v>
      </c>
      <c r="I16" s="85">
        <f t="shared" si="1"/>
        <v>4.08</v>
      </c>
      <c r="J16" s="86" t="s">
        <v>26</v>
      </c>
      <c r="K16" s="86" t="s">
        <v>74</v>
      </c>
      <c r="L16" s="202"/>
      <c r="M16" s="204"/>
      <c r="N16" s="204"/>
      <c r="O16" s="204"/>
    </row>
    <row r="17" spans="1:15" s="63" customFormat="1" ht="11.25">
      <c r="A17" s="81">
        <v>16</v>
      </c>
      <c r="B17" s="81" t="s">
        <v>45</v>
      </c>
      <c r="C17" s="177" t="s">
        <v>45</v>
      </c>
      <c r="D17" s="83" t="s">
        <v>50</v>
      </c>
      <c r="E17" s="81">
        <v>2</v>
      </c>
      <c r="F17" s="81" t="str">
        <f t="shared" si="0"/>
        <v>budynek gospodarczy</v>
      </c>
      <c r="G17" s="81" t="s">
        <v>10</v>
      </c>
      <c r="H17" s="84">
        <f>4*4</f>
        <v>16</v>
      </c>
      <c r="I17" s="85">
        <f t="shared" si="1"/>
        <v>0.272</v>
      </c>
      <c r="J17" s="86" t="s">
        <v>23</v>
      </c>
      <c r="K17" s="86" t="s">
        <v>72</v>
      </c>
      <c r="L17" s="202"/>
      <c r="M17" s="204"/>
      <c r="N17" s="204"/>
      <c r="O17" s="204"/>
    </row>
    <row r="18" spans="1:15" s="63" customFormat="1" ht="11.25">
      <c r="A18" s="81">
        <v>17</v>
      </c>
      <c r="B18" s="81" t="s">
        <v>45</v>
      </c>
      <c r="C18" s="177" t="s">
        <v>45</v>
      </c>
      <c r="D18" s="83" t="s">
        <v>51</v>
      </c>
      <c r="E18" s="81">
        <v>2</v>
      </c>
      <c r="F18" s="81" t="str">
        <f t="shared" si="0"/>
        <v>budynek gospodarczy</v>
      </c>
      <c r="G18" s="81" t="s">
        <v>10</v>
      </c>
      <c r="H18" s="84">
        <f>5*2*30</f>
        <v>300</v>
      </c>
      <c r="I18" s="85">
        <f t="shared" si="1"/>
        <v>5.1000000000000005</v>
      </c>
      <c r="J18" s="86" t="s">
        <v>26</v>
      </c>
      <c r="K18" s="86" t="s">
        <v>74</v>
      </c>
      <c r="L18" s="202"/>
      <c r="M18" s="204"/>
      <c r="N18" s="204"/>
      <c r="O18" s="204"/>
    </row>
    <row r="19" spans="1:15" s="63" customFormat="1" ht="11.25">
      <c r="A19" s="81">
        <v>18</v>
      </c>
      <c r="B19" s="81" t="s">
        <v>45</v>
      </c>
      <c r="C19" s="177" t="s">
        <v>45</v>
      </c>
      <c r="D19" s="83" t="s">
        <v>52</v>
      </c>
      <c r="E19" s="81">
        <v>2</v>
      </c>
      <c r="F19" s="81" t="str">
        <f t="shared" si="0"/>
        <v>budynek gospodarczy</v>
      </c>
      <c r="G19" s="81" t="s">
        <v>10</v>
      </c>
      <c r="H19" s="84">
        <f>3.5*2*30</f>
        <v>210</v>
      </c>
      <c r="I19" s="85">
        <f t="shared" si="1"/>
        <v>3.5700000000000003</v>
      </c>
      <c r="J19" s="86" t="s">
        <v>26</v>
      </c>
      <c r="K19" s="176" t="s">
        <v>206</v>
      </c>
      <c r="L19" s="202"/>
      <c r="M19" s="204"/>
      <c r="N19" s="204"/>
      <c r="O19" s="204"/>
    </row>
    <row r="20" spans="1:15" s="63" customFormat="1" ht="11.25">
      <c r="A20" s="81">
        <v>19</v>
      </c>
      <c r="B20" s="44" t="s">
        <v>45</v>
      </c>
      <c r="C20" s="177" t="s">
        <v>45</v>
      </c>
      <c r="D20" s="178" t="s">
        <v>52</v>
      </c>
      <c r="E20" s="81">
        <v>2</v>
      </c>
      <c r="F20" s="81" t="str">
        <f t="shared" si="0"/>
        <v>budynek gospodarczy</v>
      </c>
      <c r="G20" s="44" t="s">
        <v>10</v>
      </c>
      <c r="H20" s="84">
        <v>113</v>
      </c>
      <c r="I20" s="85">
        <f t="shared" si="1"/>
        <v>1.921</v>
      </c>
      <c r="J20" s="176" t="s">
        <v>26</v>
      </c>
      <c r="K20" s="176" t="s">
        <v>206</v>
      </c>
      <c r="L20" s="202"/>
      <c r="M20" s="204"/>
      <c r="N20" s="204"/>
      <c r="O20" s="204"/>
    </row>
    <row r="21" spans="1:15" s="63" customFormat="1" ht="11.25">
      <c r="A21" s="81">
        <v>20</v>
      </c>
      <c r="B21" s="81" t="s">
        <v>45</v>
      </c>
      <c r="C21" s="177" t="s">
        <v>45</v>
      </c>
      <c r="D21" s="83" t="s">
        <v>52</v>
      </c>
      <c r="E21" s="81">
        <v>2</v>
      </c>
      <c r="F21" s="81" t="str">
        <f t="shared" si="0"/>
        <v>budynek gospodarczy</v>
      </c>
      <c r="G21" s="81" t="s">
        <v>10</v>
      </c>
      <c r="H21" s="84">
        <f>5*2*12</f>
        <v>120</v>
      </c>
      <c r="I21" s="85">
        <f t="shared" si="1"/>
        <v>2.04</v>
      </c>
      <c r="J21" s="86" t="s">
        <v>26</v>
      </c>
      <c r="K21" s="86" t="s">
        <v>74</v>
      </c>
      <c r="L21" s="202"/>
      <c r="M21" s="204"/>
      <c r="N21" s="204"/>
      <c r="O21" s="204"/>
    </row>
    <row r="22" spans="1:15" s="63" customFormat="1" ht="11.25">
      <c r="A22" s="81">
        <v>21</v>
      </c>
      <c r="B22" s="81" t="s">
        <v>45</v>
      </c>
      <c r="C22" s="177" t="s">
        <v>45</v>
      </c>
      <c r="D22" s="83" t="s">
        <v>53</v>
      </c>
      <c r="E22" s="81">
        <v>2</v>
      </c>
      <c r="F22" s="81" t="str">
        <f t="shared" si="0"/>
        <v>budynek gospodarczy</v>
      </c>
      <c r="G22" s="81" t="s">
        <v>10</v>
      </c>
      <c r="H22" s="84">
        <f>4*10</f>
        <v>40</v>
      </c>
      <c r="I22" s="85">
        <f t="shared" si="1"/>
        <v>0.68</v>
      </c>
      <c r="J22" s="86" t="s">
        <v>23</v>
      </c>
      <c r="K22" s="86" t="s">
        <v>72</v>
      </c>
      <c r="L22" s="202"/>
      <c r="M22" s="204"/>
      <c r="N22" s="204"/>
      <c r="O22" s="204"/>
    </row>
    <row r="23" spans="1:15" s="63" customFormat="1" ht="11.25">
      <c r="A23" s="89">
        <v>22</v>
      </c>
      <c r="B23" s="89" t="s">
        <v>45</v>
      </c>
      <c r="C23" s="255" t="s">
        <v>45</v>
      </c>
      <c r="D23" s="90" t="s">
        <v>198</v>
      </c>
      <c r="E23" s="89">
        <v>2</v>
      </c>
      <c r="F23" s="89" t="str">
        <f t="shared" si="0"/>
        <v>budynek gospodarczy</v>
      </c>
      <c r="G23" s="89" t="s">
        <v>10</v>
      </c>
      <c r="H23" s="91">
        <v>64</v>
      </c>
      <c r="I23" s="85">
        <f t="shared" si="1"/>
        <v>1.088</v>
      </c>
      <c r="J23" s="92" t="s">
        <v>23</v>
      </c>
      <c r="K23" s="92" t="s">
        <v>73</v>
      </c>
      <c r="L23" s="205"/>
      <c r="M23" s="204"/>
      <c r="N23" s="204"/>
      <c r="O23" s="204"/>
    </row>
    <row r="24" spans="1:15" s="63" customFormat="1" ht="11.25">
      <c r="A24" s="89">
        <v>23</v>
      </c>
      <c r="B24" s="89" t="s">
        <v>45</v>
      </c>
      <c r="C24" s="255" t="s">
        <v>45</v>
      </c>
      <c r="D24" s="90" t="s">
        <v>198</v>
      </c>
      <c r="E24" s="89">
        <v>2</v>
      </c>
      <c r="F24" s="89" t="str">
        <f t="shared" si="0"/>
        <v>budynek gospodarczy</v>
      </c>
      <c r="G24" s="89" t="s">
        <v>10</v>
      </c>
      <c r="H24" s="91">
        <f>4*10</f>
        <v>40</v>
      </c>
      <c r="I24" s="85">
        <f t="shared" si="1"/>
        <v>0.68</v>
      </c>
      <c r="J24" s="92" t="s">
        <v>23</v>
      </c>
      <c r="K24" s="92" t="s">
        <v>72</v>
      </c>
      <c r="L24" s="205"/>
      <c r="M24" s="204"/>
      <c r="N24" s="204"/>
      <c r="O24" s="204"/>
    </row>
    <row r="25" s="63" customFormat="1" ht="11.25"/>
    <row r="26" s="63" customFormat="1" ht="11.25"/>
    <row r="27" s="63" customFormat="1" ht="11.25"/>
    <row r="28" s="63" customFormat="1" ht="11.25">
      <c r="J28" s="63">
        <f>H33*0.017</f>
        <v>3.5360000000000005</v>
      </c>
    </row>
    <row r="29" spans="9:11" ht="11.25">
      <c r="I29" s="60"/>
      <c r="J29" s="6"/>
      <c r="K29" s="6"/>
    </row>
    <row r="30" spans="7:11" ht="11.25">
      <c r="G30" s="2" t="s">
        <v>11</v>
      </c>
      <c r="H30" s="13">
        <f>SUM(H2:H28)</f>
        <v>2876</v>
      </c>
      <c r="I30" s="61">
        <f>SUM(I2:I28)</f>
        <v>48.891999999999996</v>
      </c>
      <c r="J30" s="7"/>
      <c r="K30" s="7"/>
    </row>
    <row r="32" spans="6:14" ht="11.25">
      <c r="F32" s="8" t="s">
        <v>12</v>
      </c>
      <c r="G32" s="8" t="s">
        <v>13</v>
      </c>
      <c r="H32" s="8" t="s">
        <v>14</v>
      </c>
      <c r="I32" s="8" t="s">
        <v>15</v>
      </c>
      <c r="J32" s="256" t="s">
        <v>234</v>
      </c>
      <c r="K32" s="180" t="s">
        <v>226</v>
      </c>
      <c r="L32" s="180" t="s">
        <v>227</v>
      </c>
      <c r="M32" s="180" t="s">
        <v>228</v>
      </c>
      <c r="N32" s="180" t="s">
        <v>229</v>
      </c>
    </row>
    <row r="33" spans="6:14" ht="11.25">
      <c r="F33" s="10" t="s">
        <v>16</v>
      </c>
      <c r="G33" s="10">
        <v>3</v>
      </c>
      <c r="H33" s="14">
        <f>SUMIF(E$2:I27,E10,H$2:H27)</f>
        <v>208</v>
      </c>
      <c r="I33" s="12">
        <f>SUMIF(E$2:I27,E10,I$2:I27)</f>
        <v>3.536</v>
      </c>
      <c r="J33" s="257"/>
      <c r="K33" s="11">
        <v>0</v>
      </c>
      <c r="L33" s="11">
        <v>8</v>
      </c>
      <c r="M33" s="10">
        <v>200</v>
      </c>
      <c r="N33" s="11"/>
    </row>
    <row r="34" spans="6:14" ht="11.25">
      <c r="F34" s="10" t="s">
        <v>17</v>
      </c>
      <c r="G34" s="10">
        <v>19</v>
      </c>
      <c r="H34" s="14">
        <f>SUMIF(E$2:I28,E2,H$2:H28)</f>
        <v>2488</v>
      </c>
      <c r="I34" s="12">
        <f>SUMIF(E$2:I28,E12,I$2:I28)</f>
        <v>42.296</v>
      </c>
      <c r="J34" s="258"/>
      <c r="K34" s="10">
        <v>373</v>
      </c>
      <c r="L34" s="10">
        <v>96</v>
      </c>
      <c r="M34" s="2">
        <v>259</v>
      </c>
      <c r="N34" s="10">
        <v>1760</v>
      </c>
    </row>
    <row r="35" spans="6:14" ht="11.25">
      <c r="F35" s="10" t="s">
        <v>18</v>
      </c>
      <c r="G35" s="10">
        <v>1</v>
      </c>
      <c r="H35" s="14">
        <v>180</v>
      </c>
      <c r="I35" s="12">
        <v>3.06</v>
      </c>
      <c r="J35" s="259">
        <v>827.647</v>
      </c>
      <c r="K35" s="11">
        <v>180</v>
      </c>
      <c r="L35" s="11"/>
      <c r="M35" s="11"/>
      <c r="N35" s="11"/>
    </row>
    <row r="36" spans="6:14" ht="11.25">
      <c r="F36" s="10" t="s">
        <v>10</v>
      </c>
      <c r="G36" s="10">
        <v>23</v>
      </c>
      <c r="H36" s="14">
        <f>SUMIF(G$2:I28,G9,H$2:H28)</f>
        <v>2876</v>
      </c>
      <c r="I36" s="12">
        <v>48.89</v>
      </c>
      <c r="J36" s="259">
        <v>827.647</v>
      </c>
      <c r="K36" s="59">
        <v>553</v>
      </c>
      <c r="L36" s="59">
        <v>104</v>
      </c>
      <c r="M36" s="59">
        <v>459</v>
      </c>
      <c r="N36" s="59">
        <v>1760</v>
      </c>
    </row>
    <row r="37" spans="6:14" ht="11.25">
      <c r="F37" s="10" t="s">
        <v>19</v>
      </c>
      <c r="G37" s="10">
        <v>0</v>
      </c>
      <c r="H37" s="14">
        <f>SUMIF(G$9:I29,#REF!,H$9:H29)</f>
        <v>0</v>
      </c>
      <c r="I37" s="59">
        <v>0</v>
      </c>
      <c r="J37" s="257"/>
      <c r="K37" s="11"/>
      <c r="L37" s="11"/>
      <c r="M37" s="11"/>
      <c r="N37" s="11"/>
    </row>
    <row r="38" spans="6:14" ht="11.25">
      <c r="F38" s="10" t="s">
        <v>20</v>
      </c>
      <c r="G38" s="10">
        <v>0</v>
      </c>
      <c r="H38" s="14">
        <f>SUMIF(G$9:I30,#REF!,H$9:H30)</f>
        <v>0</v>
      </c>
      <c r="I38" s="59">
        <v>0</v>
      </c>
      <c r="J38" s="257"/>
      <c r="K38" s="11"/>
      <c r="L38" s="11"/>
      <c r="M38" s="11"/>
      <c r="N38" s="11"/>
    </row>
    <row r="39" spans="6:14" ht="11.25">
      <c r="F39" s="10" t="s">
        <v>21</v>
      </c>
      <c r="G39" s="10">
        <v>0</v>
      </c>
      <c r="H39" s="12"/>
      <c r="I39" s="12"/>
      <c r="J39" s="257"/>
      <c r="K39" s="11"/>
      <c r="L39" s="11"/>
      <c r="M39" s="11"/>
      <c r="N39" s="11"/>
    </row>
  </sheetData>
  <sheetProtection/>
  <autoFilter ref="A1:O28"/>
  <printOptions/>
  <pageMargins left="0.31496062992125984" right="0.2755905511811024" top="0.984251968503937" bottom="0.984251968503937" header="0.5118110236220472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D20" sqref="D20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1" width="9.140625" style="2" customWidth="1" outlineLevel="1"/>
    <col min="12" max="12" width="9.8515625" style="19" customWidth="1"/>
    <col min="13" max="13" width="9.8515625" style="2" customWidth="1"/>
    <col min="14" max="14" width="10.28125" style="2" customWidth="1"/>
    <col min="15" max="15" width="10.140625" style="2" customWidth="1"/>
    <col min="16" max="16384" width="9.140625" style="2" customWidth="1"/>
  </cols>
  <sheetData>
    <row r="1" spans="1:15" s="1" customFormat="1" ht="45">
      <c r="A1" s="97" t="s">
        <v>0</v>
      </c>
      <c r="B1" s="97" t="s">
        <v>1</v>
      </c>
      <c r="C1" s="97" t="s">
        <v>2</v>
      </c>
      <c r="D1" s="98" t="s">
        <v>3</v>
      </c>
      <c r="E1" s="97"/>
      <c r="F1" s="97" t="s">
        <v>4</v>
      </c>
      <c r="G1" s="97" t="s">
        <v>5</v>
      </c>
      <c r="H1" s="97" t="s">
        <v>6</v>
      </c>
      <c r="I1" s="97" t="s">
        <v>7</v>
      </c>
      <c r="J1" s="97" t="s">
        <v>8</v>
      </c>
      <c r="K1" s="216" t="s">
        <v>9</v>
      </c>
      <c r="L1" s="237"/>
      <c r="M1" s="220"/>
      <c r="N1" s="220"/>
      <c r="O1" s="220"/>
    </row>
    <row r="2" spans="1:15" s="63" customFormat="1" ht="11.25">
      <c r="A2" s="99">
        <v>1</v>
      </c>
      <c r="B2" s="99" t="s">
        <v>40</v>
      </c>
      <c r="C2" s="100" t="s">
        <v>40</v>
      </c>
      <c r="D2" s="101" t="s">
        <v>182</v>
      </c>
      <c r="E2" s="99">
        <v>2</v>
      </c>
      <c r="F2" s="99" t="str">
        <f>IF(E2=2,"budynek gospodarczy","budynek mieszkalny")</f>
        <v>budynek gospodarczy</v>
      </c>
      <c r="G2" s="99" t="s">
        <v>10</v>
      </c>
      <c r="H2" s="102">
        <f>4*5</f>
        <v>20</v>
      </c>
      <c r="I2" s="103">
        <f>0.017*H2</f>
        <v>0.34</v>
      </c>
      <c r="J2" s="104" t="s">
        <v>23</v>
      </c>
      <c r="K2" s="217" t="s">
        <v>72</v>
      </c>
      <c r="L2" s="238"/>
      <c r="M2" s="222"/>
      <c r="N2" s="222"/>
      <c r="O2" s="222"/>
    </row>
    <row r="3" spans="1:15" s="63" customFormat="1" ht="11.25">
      <c r="A3" s="99">
        <v>2</v>
      </c>
      <c r="B3" s="190" t="s">
        <v>40</v>
      </c>
      <c r="C3" s="191" t="s">
        <v>40</v>
      </c>
      <c r="D3" s="192" t="s">
        <v>214</v>
      </c>
      <c r="E3" s="99">
        <v>3</v>
      </c>
      <c r="F3" s="194" t="s">
        <v>18</v>
      </c>
      <c r="G3" s="190" t="s">
        <v>10</v>
      </c>
      <c r="H3" s="102">
        <v>57</v>
      </c>
      <c r="I3" s="103">
        <f>0.017*H3</f>
        <v>0.9690000000000001</v>
      </c>
      <c r="J3" s="193" t="s">
        <v>23</v>
      </c>
      <c r="K3" s="218" t="s">
        <v>206</v>
      </c>
      <c r="L3" s="238"/>
      <c r="M3" s="222"/>
      <c r="N3" s="222"/>
      <c r="O3" s="222"/>
    </row>
    <row r="4" spans="1:15" s="63" customFormat="1" ht="11.25">
      <c r="A4" s="99">
        <v>3</v>
      </c>
      <c r="B4" s="190" t="s">
        <v>40</v>
      </c>
      <c r="C4" s="191" t="s">
        <v>40</v>
      </c>
      <c r="D4" s="192" t="s">
        <v>213</v>
      </c>
      <c r="E4" s="99">
        <v>3</v>
      </c>
      <c r="F4" s="194" t="s">
        <v>18</v>
      </c>
      <c r="G4" s="190" t="s">
        <v>10</v>
      </c>
      <c r="H4" s="102">
        <v>70</v>
      </c>
      <c r="I4" s="103">
        <f>0.017*H4</f>
        <v>1.1900000000000002</v>
      </c>
      <c r="J4" s="193" t="s">
        <v>23</v>
      </c>
      <c r="K4" s="218" t="s">
        <v>206</v>
      </c>
      <c r="L4" s="238"/>
      <c r="M4" s="222"/>
      <c r="N4" s="222"/>
      <c r="O4" s="222"/>
    </row>
    <row r="5" spans="1:15" s="63" customFormat="1" ht="11.25">
      <c r="A5" s="99">
        <v>4</v>
      </c>
      <c r="B5" s="99" t="s">
        <v>40</v>
      </c>
      <c r="C5" s="100" t="s">
        <v>40</v>
      </c>
      <c r="D5" s="101" t="s">
        <v>199</v>
      </c>
      <c r="E5" s="99">
        <v>2</v>
      </c>
      <c r="F5" s="99" t="s">
        <v>200</v>
      </c>
      <c r="G5" s="99" t="s">
        <v>10</v>
      </c>
      <c r="H5" s="102">
        <v>600</v>
      </c>
      <c r="I5" s="103">
        <f aca="true" t="shared" si="0" ref="I5:I14">0.017*H5</f>
        <v>10.200000000000001</v>
      </c>
      <c r="J5" s="104" t="s">
        <v>26</v>
      </c>
      <c r="K5" s="217" t="s">
        <v>74</v>
      </c>
      <c r="L5" s="238"/>
      <c r="M5" s="222"/>
      <c r="N5" s="222"/>
      <c r="O5" s="222"/>
    </row>
    <row r="6" spans="1:15" s="63" customFormat="1" ht="11.25">
      <c r="A6" s="99">
        <v>5</v>
      </c>
      <c r="B6" s="99" t="s">
        <v>40</v>
      </c>
      <c r="C6" s="100" t="s">
        <v>40</v>
      </c>
      <c r="D6" s="101" t="s">
        <v>201</v>
      </c>
      <c r="E6" s="99">
        <v>2</v>
      </c>
      <c r="F6" s="99" t="s">
        <v>200</v>
      </c>
      <c r="G6" s="99" t="s">
        <v>10</v>
      </c>
      <c r="H6" s="102">
        <v>100</v>
      </c>
      <c r="I6" s="103">
        <f t="shared" si="0"/>
        <v>1.7000000000000002</v>
      </c>
      <c r="J6" s="104" t="s">
        <v>26</v>
      </c>
      <c r="K6" s="217" t="s">
        <v>74</v>
      </c>
      <c r="L6" s="238"/>
      <c r="M6" s="222"/>
      <c r="N6" s="222"/>
      <c r="O6" s="222"/>
    </row>
    <row r="7" spans="1:15" s="63" customFormat="1" ht="11.25">
      <c r="A7" s="99">
        <v>6</v>
      </c>
      <c r="B7" s="99" t="s">
        <v>40</v>
      </c>
      <c r="C7" s="100" t="s">
        <v>40</v>
      </c>
      <c r="D7" s="101" t="s">
        <v>201</v>
      </c>
      <c r="E7" s="99">
        <v>2</v>
      </c>
      <c r="F7" s="99" t="s">
        <v>200</v>
      </c>
      <c r="G7" s="99" t="s">
        <v>10</v>
      </c>
      <c r="H7" s="102">
        <v>60</v>
      </c>
      <c r="I7" s="103">
        <f t="shared" si="0"/>
        <v>1.02</v>
      </c>
      <c r="J7" s="104" t="s">
        <v>26</v>
      </c>
      <c r="K7" s="217" t="s">
        <v>74</v>
      </c>
      <c r="L7" s="238"/>
      <c r="M7" s="222"/>
      <c r="N7" s="222"/>
      <c r="O7" s="222"/>
    </row>
    <row r="8" spans="1:15" s="63" customFormat="1" ht="11.25">
      <c r="A8" s="99">
        <v>7</v>
      </c>
      <c r="B8" s="99" t="s">
        <v>40</v>
      </c>
      <c r="C8" s="100" t="s">
        <v>40</v>
      </c>
      <c r="D8" s="101" t="s">
        <v>201</v>
      </c>
      <c r="E8" s="99">
        <v>2</v>
      </c>
      <c r="F8" s="99" t="s">
        <v>200</v>
      </c>
      <c r="G8" s="99" t="s">
        <v>10</v>
      </c>
      <c r="H8" s="102">
        <v>20</v>
      </c>
      <c r="I8" s="103">
        <f t="shared" si="0"/>
        <v>0.34</v>
      </c>
      <c r="J8" s="104" t="s">
        <v>23</v>
      </c>
      <c r="K8" s="217" t="s">
        <v>72</v>
      </c>
      <c r="L8" s="238"/>
      <c r="M8" s="222"/>
      <c r="N8" s="222"/>
      <c r="O8" s="222"/>
    </row>
    <row r="9" spans="1:15" s="63" customFormat="1" ht="11.25" customHeight="1">
      <c r="A9" s="99">
        <v>8</v>
      </c>
      <c r="B9" s="99" t="s">
        <v>40</v>
      </c>
      <c r="C9" s="100" t="s">
        <v>40</v>
      </c>
      <c r="D9" s="101" t="s">
        <v>183</v>
      </c>
      <c r="E9" s="99">
        <v>2</v>
      </c>
      <c r="F9" s="99" t="str">
        <f>IF(E9=2,"budynek gospodarczy","budynek mieszkalny")</f>
        <v>budynek gospodarczy</v>
      </c>
      <c r="G9" s="99" t="s">
        <v>10</v>
      </c>
      <c r="H9" s="102">
        <f>(2+3)*5</f>
        <v>25</v>
      </c>
      <c r="I9" s="103">
        <f t="shared" si="0"/>
        <v>0.42500000000000004</v>
      </c>
      <c r="J9" s="104" t="s">
        <v>23</v>
      </c>
      <c r="K9" s="217" t="s">
        <v>72</v>
      </c>
      <c r="L9" s="238"/>
      <c r="M9" s="222"/>
      <c r="N9" s="222"/>
      <c r="O9" s="222"/>
    </row>
    <row r="10" spans="1:15" s="63" customFormat="1" ht="15" customHeight="1">
      <c r="A10" s="99">
        <v>9</v>
      </c>
      <c r="B10" s="99" t="s">
        <v>40</v>
      </c>
      <c r="C10" s="100" t="s">
        <v>40</v>
      </c>
      <c r="D10" s="101" t="s">
        <v>202</v>
      </c>
      <c r="E10" s="99">
        <v>2</v>
      </c>
      <c r="F10" s="99" t="s">
        <v>200</v>
      </c>
      <c r="G10" s="99" t="s">
        <v>10</v>
      </c>
      <c r="H10" s="102">
        <v>40</v>
      </c>
      <c r="I10" s="103">
        <f t="shared" si="0"/>
        <v>0.68</v>
      </c>
      <c r="J10" s="104" t="s">
        <v>23</v>
      </c>
      <c r="K10" s="217" t="s">
        <v>72</v>
      </c>
      <c r="L10" s="238"/>
      <c r="M10" s="222"/>
      <c r="N10" s="222"/>
      <c r="O10" s="222"/>
    </row>
    <row r="11" spans="1:15" s="63" customFormat="1" ht="15.75" customHeight="1">
      <c r="A11" s="87">
        <v>10</v>
      </c>
      <c r="B11" s="185" t="s">
        <v>40</v>
      </c>
      <c r="C11" s="186" t="s">
        <v>40</v>
      </c>
      <c r="D11" s="187" t="s">
        <v>202</v>
      </c>
      <c r="E11" s="87">
        <v>3</v>
      </c>
      <c r="F11" s="188" t="s">
        <v>18</v>
      </c>
      <c r="G11" s="185" t="s">
        <v>10</v>
      </c>
      <c r="H11" s="113">
        <v>420</v>
      </c>
      <c r="I11" s="103">
        <f t="shared" si="0"/>
        <v>7.140000000000001</v>
      </c>
      <c r="J11" s="189" t="s">
        <v>23</v>
      </c>
      <c r="K11" s="219" t="s">
        <v>206</v>
      </c>
      <c r="L11" s="238"/>
      <c r="M11" s="222"/>
      <c r="N11" s="222"/>
      <c r="O11" s="222"/>
    </row>
    <row r="12" spans="1:15" s="63" customFormat="1" ht="16.5" customHeight="1">
      <c r="A12" s="99">
        <v>11</v>
      </c>
      <c r="B12" s="99" t="s">
        <v>40</v>
      </c>
      <c r="C12" s="100" t="s">
        <v>40</v>
      </c>
      <c r="D12" s="101" t="s">
        <v>202</v>
      </c>
      <c r="E12" s="99">
        <v>2</v>
      </c>
      <c r="F12" s="99" t="s">
        <v>200</v>
      </c>
      <c r="G12" s="99" t="s">
        <v>10</v>
      </c>
      <c r="H12" s="102">
        <v>28</v>
      </c>
      <c r="I12" s="103">
        <f t="shared" si="0"/>
        <v>0.47600000000000003</v>
      </c>
      <c r="J12" s="104" t="s">
        <v>23</v>
      </c>
      <c r="K12" s="217" t="s">
        <v>72</v>
      </c>
      <c r="L12" s="238"/>
      <c r="M12" s="222"/>
      <c r="N12" s="222"/>
      <c r="O12" s="222"/>
    </row>
    <row r="13" spans="1:15" ht="11.25">
      <c r="A13" s="99">
        <v>12</v>
      </c>
      <c r="B13" s="107" t="s">
        <v>40</v>
      </c>
      <c r="C13" s="108"/>
      <c r="D13" s="109" t="s">
        <v>91</v>
      </c>
      <c r="E13" s="107">
        <v>2</v>
      </c>
      <c r="F13" s="107" t="str">
        <f>IF(E13=2,"budynek gospodarczy","budynek mieszkalny")</f>
        <v>budynek gospodarczy</v>
      </c>
      <c r="G13" s="107" t="s">
        <v>10</v>
      </c>
      <c r="H13" s="110">
        <f>5*6</f>
        <v>30</v>
      </c>
      <c r="I13" s="103">
        <f t="shared" si="0"/>
        <v>0.51</v>
      </c>
      <c r="J13" s="112" t="s">
        <v>23</v>
      </c>
      <c r="K13" s="233" t="s">
        <v>72</v>
      </c>
      <c r="L13" s="239"/>
      <c r="M13" s="234"/>
      <c r="N13" s="234"/>
      <c r="O13" s="234"/>
    </row>
    <row r="14" spans="1:15" s="63" customFormat="1" ht="11.25">
      <c r="A14" s="99">
        <v>13</v>
      </c>
      <c r="B14" s="99" t="s">
        <v>40</v>
      </c>
      <c r="C14" s="100" t="s">
        <v>40</v>
      </c>
      <c r="D14" s="101" t="s">
        <v>91</v>
      </c>
      <c r="E14" s="99">
        <v>2</v>
      </c>
      <c r="F14" s="99" t="str">
        <f>IF(E14=2,"budynek gospodarczy","budynek mieszkalny")</f>
        <v>budynek gospodarczy</v>
      </c>
      <c r="G14" s="99" t="s">
        <v>10</v>
      </c>
      <c r="H14" s="102">
        <f>3*2*10</f>
        <v>60</v>
      </c>
      <c r="I14" s="103">
        <f t="shared" si="0"/>
        <v>1.02</v>
      </c>
      <c r="J14" s="104" t="s">
        <v>26</v>
      </c>
      <c r="K14" s="217" t="s">
        <v>74</v>
      </c>
      <c r="L14" s="238"/>
      <c r="M14" s="222"/>
      <c r="N14" s="222"/>
      <c r="O14" s="222"/>
    </row>
    <row r="15" spans="1:15" ht="11.25">
      <c r="A15" s="114"/>
      <c r="B15" s="114"/>
      <c r="C15" s="115"/>
      <c r="D15" s="116"/>
      <c r="E15" s="114"/>
      <c r="F15" s="114"/>
      <c r="G15" s="114" t="s">
        <v>11</v>
      </c>
      <c r="H15" s="117">
        <f>SUM(H2:H14)</f>
        <v>1530</v>
      </c>
      <c r="I15" s="118">
        <f>SUM(I2:I14)</f>
        <v>26.01</v>
      </c>
      <c r="J15" s="119"/>
      <c r="K15" s="119"/>
      <c r="L15" s="120"/>
      <c r="M15" s="114"/>
      <c r="N15" s="114"/>
      <c r="O15" s="114"/>
    </row>
    <row r="17" spans="6:14" ht="11.25">
      <c r="F17" s="8" t="s">
        <v>12</v>
      </c>
      <c r="G17" s="8" t="s">
        <v>13</v>
      </c>
      <c r="H17" s="8" t="s">
        <v>14</v>
      </c>
      <c r="I17" s="8" t="s">
        <v>15</v>
      </c>
      <c r="J17" s="256" t="s">
        <v>234</v>
      </c>
      <c r="K17" s="180" t="s">
        <v>230</v>
      </c>
      <c r="L17" s="180" t="s">
        <v>227</v>
      </c>
      <c r="M17" s="180" t="s">
        <v>228</v>
      </c>
      <c r="N17" s="180" t="s">
        <v>229</v>
      </c>
    </row>
    <row r="18" spans="6:14" ht="11.25">
      <c r="F18" s="10" t="s">
        <v>16</v>
      </c>
      <c r="G18" s="10">
        <v>0</v>
      </c>
      <c r="H18" s="14"/>
      <c r="I18" s="59"/>
      <c r="J18" s="257"/>
      <c r="K18" s="5"/>
      <c r="L18" s="5"/>
      <c r="M18" s="21"/>
      <c r="N18" s="11"/>
    </row>
    <row r="19" spans="6:14" ht="11.25">
      <c r="F19" s="10" t="s">
        <v>17</v>
      </c>
      <c r="G19" s="10">
        <v>10</v>
      </c>
      <c r="H19" s="14">
        <f>SUMIF(E$2:I14,E2,H$2:H14)</f>
        <v>983</v>
      </c>
      <c r="I19" s="59">
        <f>SUMIF(E$2:I14,E2,I$2:I14)</f>
        <v>16.711000000000002</v>
      </c>
      <c r="J19" s="258"/>
      <c r="K19" s="10"/>
      <c r="L19" s="10">
        <v>163</v>
      </c>
      <c r="M19" s="19"/>
      <c r="N19" s="10">
        <v>820</v>
      </c>
    </row>
    <row r="20" spans="6:14" ht="11.25">
      <c r="F20" s="10" t="s">
        <v>18</v>
      </c>
      <c r="G20" s="10">
        <v>3</v>
      </c>
      <c r="H20" s="14">
        <v>547</v>
      </c>
      <c r="I20" s="59">
        <v>9.299</v>
      </c>
      <c r="J20" s="259">
        <v>1128.235</v>
      </c>
      <c r="K20" s="59">
        <v>547</v>
      </c>
      <c r="L20" s="59"/>
      <c r="M20" s="20"/>
      <c r="N20" s="11"/>
    </row>
    <row r="21" spans="6:14" ht="11.25">
      <c r="F21" s="10" t="s">
        <v>10</v>
      </c>
      <c r="G21" s="10">
        <f>SUM(G18:G20)</f>
        <v>13</v>
      </c>
      <c r="H21" s="14">
        <v>1530</v>
      </c>
      <c r="I21" s="59">
        <f>SUMIF(G$2:I14,G$2,I$2:I14)</f>
        <v>26.01</v>
      </c>
      <c r="J21" s="259">
        <v>1128.235</v>
      </c>
      <c r="K21" s="59">
        <v>547</v>
      </c>
      <c r="L21" s="59">
        <v>163</v>
      </c>
      <c r="M21" s="75">
        <v>0</v>
      </c>
      <c r="N21" s="59">
        <v>820</v>
      </c>
    </row>
    <row r="22" spans="6:14" ht="11.25">
      <c r="F22" s="10" t="s">
        <v>19</v>
      </c>
      <c r="G22" s="10"/>
      <c r="H22" s="14">
        <v>250</v>
      </c>
      <c r="I22" s="59">
        <v>2.75</v>
      </c>
      <c r="J22" s="257"/>
      <c r="K22" s="11"/>
      <c r="L22" s="11"/>
      <c r="M22" s="20"/>
      <c r="N22" s="59">
        <v>2.75</v>
      </c>
    </row>
    <row r="23" spans="6:14" ht="11.25">
      <c r="F23" s="10" t="s">
        <v>20</v>
      </c>
      <c r="G23" s="10"/>
      <c r="H23" s="14">
        <f>SUMIF(G$2:I15,#REF!,H$2:H15)</f>
        <v>0</v>
      </c>
      <c r="I23" s="59">
        <f>SUMIF(G$2:I15,#REF!,I$2:I15)</f>
        <v>0</v>
      </c>
      <c r="J23" s="257"/>
      <c r="K23" s="11"/>
      <c r="L23" s="11"/>
      <c r="M23" s="20"/>
      <c r="N23" s="11"/>
    </row>
    <row r="24" spans="6:14" ht="11.25">
      <c r="F24" s="10" t="s">
        <v>21</v>
      </c>
      <c r="G24" s="10"/>
      <c r="H24" s="12"/>
      <c r="I24" s="12"/>
      <c r="J24" s="257"/>
      <c r="K24" s="11"/>
      <c r="L24" s="11"/>
      <c r="M24" s="20"/>
      <c r="N24" s="11"/>
    </row>
  </sheetData>
  <sheetProtection/>
  <autoFilter ref="A1:O15"/>
  <printOptions/>
  <pageMargins left="0.31" right="0.27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O17" sqref="O17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1" width="9.140625" style="2" customWidth="1" outlineLevel="1"/>
    <col min="12" max="12" width="9.8515625" style="15" customWidth="1"/>
    <col min="13" max="13" width="9.8515625" style="2" customWidth="1"/>
    <col min="14" max="14" width="10.28125" style="2" customWidth="1"/>
    <col min="15" max="15" width="10.140625" style="2" customWidth="1"/>
    <col min="16" max="16384" width="9.140625" style="2" customWidth="1"/>
  </cols>
  <sheetData>
    <row r="1" spans="1:15" s="1" customFormat="1" ht="45">
      <c r="A1" s="121" t="s">
        <v>0</v>
      </c>
      <c r="B1" s="121" t="s">
        <v>1</v>
      </c>
      <c r="C1" s="121" t="s">
        <v>2</v>
      </c>
      <c r="D1" s="122" t="s">
        <v>3</v>
      </c>
      <c r="E1" s="121"/>
      <c r="F1" s="121" t="s">
        <v>4</v>
      </c>
      <c r="G1" s="121" t="s">
        <v>5</v>
      </c>
      <c r="H1" s="121" t="s">
        <v>6</v>
      </c>
      <c r="I1" s="121" t="s">
        <v>7</v>
      </c>
      <c r="J1" s="121" t="s">
        <v>8</v>
      </c>
      <c r="K1" s="240" t="s">
        <v>9</v>
      </c>
      <c r="L1" s="214"/>
      <c r="M1" s="201"/>
      <c r="N1" s="201"/>
      <c r="O1" s="201"/>
    </row>
    <row r="2" spans="1:15" s="63" customFormat="1" ht="15" customHeight="1">
      <c r="A2" s="81">
        <v>1</v>
      </c>
      <c r="B2" s="81" t="s">
        <v>36</v>
      </c>
      <c r="C2" s="82" t="s">
        <v>36</v>
      </c>
      <c r="D2" s="83" t="s">
        <v>190</v>
      </c>
      <c r="E2" s="81">
        <v>2</v>
      </c>
      <c r="F2" s="81" t="str">
        <f aca="true" t="shared" si="0" ref="F2:F30">IF(E2=2,"budynek gospodarczy","budynek mieszkalny")</f>
        <v>budynek gospodarczy</v>
      </c>
      <c r="G2" s="81" t="s">
        <v>10</v>
      </c>
      <c r="H2" s="84">
        <f>6*2*80</f>
        <v>960</v>
      </c>
      <c r="I2" s="85">
        <f>0.017*H2</f>
        <v>16.32</v>
      </c>
      <c r="J2" s="86" t="s">
        <v>26</v>
      </c>
      <c r="K2" s="207" t="s">
        <v>74</v>
      </c>
      <c r="L2" s="236"/>
      <c r="M2" s="204"/>
      <c r="N2" s="204"/>
      <c r="O2" s="204"/>
    </row>
    <row r="3" spans="1:15" s="63" customFormat="1" ht="13.5" customHeight="1">
      <c r="A3" s="81">
        <v>2</v>
      </c>
      <c r="B3" s="81" t="s">
        <v>36</v>
      </c>
      <c r="C3" s="82" t="s">
        <v>36</v>
      </c>
      <c r="D3" s="83" t="s">
        <v>190</v>
      </c>
      <c r="E3" s="81">
        <v>2</v>
      </c>
      <c r="F3" s="81" t="str">
        <f t="shared" si="0"/>
        <v>budynek gospodarczy</v>
      </c>
      <c r="G3" s="81" t="s">
        <v>10</v>
      </c>
      <c r="H3" s="84">
        <f>5*8</f>
        <v>40</v>
      </c>
      <c r="I3" s="85">
        <f aca="true" t="shared" si="1" ref="I3:I26">0.017*H3</f>
        <v>0.68</v>
      </c>
      <c r="J3" s="86" t="s">
        <v>23</v>
      </c>
      <c r="K3" s="207" t="s">
        <v>72</v>
      </c>
      <c r="L3" s="236"/>
      <c r="M3" s="204"/>
      <c r="N3" s="204"/>
      <c r="O3" s="204"/>
    </row>
    <row r="4" spans="1:15" s="63" customFormat="1" ht="11.25" customHeight="1">
      <c r="A4" s="81">
        <v>3</v>
      </c>
      <c r="B4" s="81" t="s">
        <v>36</v>
      </c>
      <c r="C4" s="82" t="s">
        <v>36</v>
      </c>
      <c r="D4" s="83" t="s">
        <v>190</v>
      </c>
      <c r="E4" s="81">
        <v>2</v>
      </c>
      <c r="F4" s="81" t="str">
        <f t="shared" si="0"/>
        <v>budynek gospodarczy</v>
      </c>
      <c r="G4" s="81" t="s">
        <v>10</v>
      </c>
      <c r="H4" s="84">
        <f>3*2*18</f>
        <v>108</v>
      </c>
      <c r="I4" s="85">
        <f t="shared" si="1"/>
        <v>1.836</v>
      </c>
      <c r="J4" s="86" t="s">
        <v>26</v>
      </c>
      <c r="K4" s="207" t="s">
        <v>74</v>
      </c>
      <c r="L4" s="236"/>
      <c r="M4" s="204"/>
      <c r="N4" s="204"/>
      <c r="O4" s="204"/>
    </row>
    <row r="5" spans="1:15" s="63" customFormat="1" ht="13.5" customHeight="1">
      <c r="A5" s="81">
        <v>4</v>
      </c>
      <c r="B5" s="81" t="s">
        <v>36</v>
      </c>
      <c r="C5" s="82" t="s">
        <v>36</v>
      </c>
      <c r="D5" s="83" t="s">
        <v>191</v>
      </c>
      <c r="E5" s="81">
        <v>2</v>
      </c>
      <c r="F5" s="81" t="str">
        <f t="shared" si="0"/>
        <v>budynek gospodarczy</v>
      </c>
      <c r="G5" s="81" t="s">
        <v>10</v>
      </c>
      <c r="H5" s="84">
        <v>155</v>
      </c>
      <c r="I5" s="85">
        <f t="shared" si="1"/>
        <v>2.6350000000000002</v>
      </c>
      <c r="J5" s="86" t="s">
        <v>26</v>
      </c>
      <c r="K5" s="208" t="s">
        <v>206</v>
      </c>
      <c r="L5" s="236"/>
      <c r="M5" s="231"/>
      <c r="N5" s="204"/>
      <c r="O5" s="204"/>
    </row>
    <row r="6" spans="1:15" s="63" customFormat="1" ht="10.5" customHeight="1">
      <c r="A6" s="81">
        <v>5</v>
      </c>
      <c r="B6" s="81" t="s">
        <v>36</v>
      </c>
      <c r="C6" s="82" t="s">
        <v>36</v>
      </c>
      <c r="D6" s="83" t="s">
        <v>191</v>
      </c>
      <c r="E6" s="81">
        <v>2</v>
      </c>
      <c r="F6" s="81" t="str">
        <f t="shared" si="0"/>
        <v>budynek gospodarczy</v>
      </c>
      <c r="G6" s="81" t="s">
        <v>10</v>
      </c>
      <c r="H6" s="84">
        <v>300</v>
      </c>
      <c r="I6" s="85">
        <f t="shared" si="1"/>
        <v>5.1000000000000005</v>
      </c>
      <c r="J6" s="86" t="s">
        <v>26</v>
      </c>
      <c r="K6" s="208" t="s">
        <v>206</v>
      </c>
      <c r="L6" s="236"/>
      <c r="M6" s="204"/>
      <c r="N6" s="204"/>
      <c r="O6" s="204"/>
    </row>
    <row r="7" spans="1:15" s="63" customFormat="1" ht="14.25" customHeight="1">
      <c r="A7" s="81">
        <v>6</v>
      </c>
      <c r="B7" s="81" t="s">
        <v>36</v>
      </c>
      <c r="C7" s="82" t="s">
        <v>36</v>
      </c>
      <c r="D7" s="83" t="s">
        <v>191</v>
      </c>
      <c r="E7" s="81">
        <v>2</v>
      </c>
      <c r="F7" s="81" t="str">
        <f t="shared" si="0"/>
        <v>budynek gospodarczy</v>
      </c>
      <c r="G7" s="81" t="s">
        <v>10</v>
      </c>
      <c r="H7" s="84">
        <v>200</v>
      </c>
      <c r="I7" s="85">
        <f t="shared" si="1"/>
        <v>3.4000000000000004</v>
      </c>
      <c r="J7" s="86" t="s">
        <v>26</v>
      </c>
      <c r="K7" s="208" t="s">
        <v>206</v>
      </c>
      <c r="L7" s="236"/>
      <c r="M7" s="204"/>
      <c r="N7" s="204"/>
      <c r="O7" s="204"/>
    </row>
    <row r="8" spans="1:15" s="63" customFormat="1" ht="11.25">
      <c r="A8" s="81">
        <v>7</v>
      </c>
      <c r="B8" s="81" t="s">
        <v>36</v>
      </c>
      <c r="C8" s="82" t="s">
        <v>36</v>
      </c>
      <c r="D8" s="83" t="s">
        <v>116</v>
      </c>
      <c r="E8" s="81">
        <v>2</v>
      </c>
      <c r="F8" s="81" t="str">
        <f t="shared" si="0"/>
        <v>budynek gospodarczy</v>
      </c>
      <c r="G8" s="81" t="s">
        <v>10</v>
      </c>
      <c r="H8" s="84">
        <f>7*7</f>
        <v>49</v>
      </c>
      <c r="I8" s="85">
        <f t="shared" si="1"/>
        <v>0.8330000000000001</v>
      </c>
      <c r="J8" s="86" t="s">
        <v>23</v>
      </c>
      <c r="K8" s="207" t="s">
        <v>72</v>
      </c>
      <c r="L8" s="236"/>
      <c r="M8" s="204"/>
      <c r="N8" s="204"/>
      <c r="O8" s="204"/>
    </row>
    <row r="9" spans="1:15" s="63" customFormat="1" ht="11.25">
      <c r="A9" s="81">
        <v>8</v>
      </c>
      <c r="B9" s="81" t="s">
        <v>36</v>
      </c>
      <c r="C9" s="82" t="s">
        <v>36</v>
      </c>
      <c r="D9" s="83" t="s">
        <v>116</v>
      </c>
      <c r="E9" s="81">
        <v>2</v>
      </c>
      <c r="F9" s="81" t="str">
        <f t="shared" si="0"/>
        <v>budynek gospodarczy</v>
      </c>
      <c r="G9" s="81" t="s">
        <v>10</v>
      </c>
      <c r="H9" s="84">
        <f>6*2*30</f>
        <v>360</v>
      </c>
      <c r="I9" s="85">
        <f t="shared" si="1"/>
        <v>6.12</v>
      </c>
      <c r="J9" s="86" t="s">
        <v>26</v>
      </c>
      <c r="K9" s="207" t="s">
        <v>74</v>
      </c>
      <c r="L9" s="236"/>
      <c r="M9" s="204"/>
      <c r="N9" s="204"/>
      <c r="O9" s="204"/>
    </row>
    <row r="10" spans="1:15" s="63" customFormat="1" ht="10.5" customHeight="1">
      <c r="A10" s="81">
        <v>9</v>
      </c>
      <c r="B10" s="81" t="s">
        <v>36</v>
      </c>
      <c r="C10" s="82" t="s">
        <v>36</v>
      </c>
      <c r="D10" s="83" t="s">
        <v>192</v>
      </c>
      <c r="E10" s="81">
        <v>2</v>
      </c>
      <c r="F10" s="81" t="str">
        <f t="shared" si="0"/>
        <v>budynek gospodarczy</v>
      </c>
      <c r="G10" s="81" t="s">
        <v>10</v>
      </c>
      <c r="H10" s="84">
        <f>3*3</f>
        <v>9</v>
      </c>
      <c r="I10" s="85">
        <f t="shared" si="1"/>
        <v>0.15300000000000002</v>
      </c>
      <c r="J10" s="86" t="s">
        <v>23</v>
      </c>
      <c r="K10" s="207" t="s">
        <v>72</v>
      </c>
      <c r="L10" s="236"/>
      <c r="M10" s="204"/>
      <c r="N10" s="204"/>
      <c r="O10" s="204"/>
    </row>
    <row r="11" spans="1:15" s="63" customFormat="1" ht="11.25" customHeight="1">
      <c r="A11" s="81">
        <v>10</v>
      </c>
      <c r="B11" s="81" t="s">
        <v>36</v>
      </c>
      <c r="C11" s="82" t="s">
        <v>36</v>
      </c>
      <c r="D11" s="83" t="s">
        <v>192</v>
      </c>
      <c r="E11" s="81">
        <v>2</v>
      </c>
      <c r="F11" s="81" t="str">
        <f t="shared" si="0"/>
        <v>budynek gospodarczy</v>
      </c>
      <c r="G11" s="81" t="s">
        <v>10</v>
      </c>
      <c r="H11" s="84">
        <f>7*7</f>
        <v>49</v>
      </c>
      <c r="I11" s="85">
        <f t="shared" si="1"/>
        <v>0.8330000000000001</v>
      </c>
      <c r="J11" s="86" t="s">
        <v>23</v>
      </c>
      <c r="K11" s="207" t="s">
        <v>72</v>
      </c>
      <c r="L11" s="236"/>
      <c r="M11" s="204"/>
      <c r="N11" s="204"/>
      <c r="O11" s="204"/>
    </row>
    <row r="12" spans="1:15" s="63" customFormat="1" ht="12" customHeight="1">
      <c r="A12" s="81">
        <v>11</v>
      </c>
      <c r="B12" s="81" t="s">
        <v>36</v>
      </c>
      <c r="C12" s="82" t="s">
        <v>36</v>
      </c>
      <c r="D12" s="83" t="s">
        <v>193</v>
      </c>
      <c r="E12" s="81">
        <v>2</v>
      </c>
      <c r="F12" s="81" t="str">
        <f t="shared" si="0"/>
        <v>budynek gospodarczy</v>
      </c>
      <c r="G12" s="81" t="s">
        <v>10</v>
      </c>
      <c r="H12" s="84">
        <f>6*2*8</f>
        <v>96</v>
      </c>
      <c r="I12" s="85">
        <f t="shared" si="1"/>
        <v>1.6320000000000001</v>
      </c>
      <c r="J12" s="86" t="s">
        <v>26</v>
      </c>
      <c r="K12" s="207" t="s">
        <v>74</v>
      </c>
      <c r="L12" s="236"/>
      <c r="M12" s="204"/>
      <c r="N12" s="204"/>
      <c r="O12" s="204"/>
    </row>
    <row r="13" spans="1:15" s="63" customFormat="1" ht="11.25" customHeight="1">
      <c r="A13" s="81">
        <v>12</v>
      </c>
      <c r="B13" s="81" t="s">
        <v>36</v>
      </c>
      <c r="C13" s="82" t="s">
        <v>36</v>
      </c>
      <c r="D13" s="83" t="s">
        <v>119</v>
      </c>
      <c r="E13" s="81">
        <v>2</v>
      </c>
      <c r="F13" s="81" t="str">
        <f t="shared" si="0"/>
        <v>budynek gospodarczy</v>
      </c>
      <c r="G13" s="81" t="s">
        <v>10</v>
      </c>
      <c r="H13" s="84">
        <v>122</v>
      </c>
      <c r="I13" s="85">
        <f t="shared" si="1"/>
        <v>2.0740000000000003</v>
      </c>
      <c r="J13" s="86" t="s">
        <v>26</v>
      </c>
      <c r="K13" s="208" t="s">
        <v>206</v>
      </c>
      <c r="L13" s="236"/>
      <c r="M13" s="204"/>
      <c r="N13" s="204"/>
      <c r="O13" s="204"/>
    </row>
    <row r="14" spans="1:15" s="63" customFormat="1" ht="13.5" customHeight="1">
      <c r="A14" s="81">
        <v>13</v>
      </c>
      <c r="B14" s="81" t="s">
        <v>36</v>
      </c>
      <c r="C14" s="82" t="s">
        <v>36</v>
      </c>
      <c r="D14" s="83" t="s">
        <v>194</v>
      </c>
      <c r="E14" s="81">
        <v>2</v>
      </c>
      <c r="F14" s="81" t="str">
        <f t="shared" si="0"/>
        <v>budynek gospodarczy</v>
      </c>
      <c r="G14" s="81" t="s">
        <v>10</v>
      </c>
      <c r="H14" s="84">
        <f>6*5</f>
        <v>30</v>
      </c>
      <c r="I14" s="85">
        <f t="shared" si="1"/>
        <v>0.51</v>
      </c>
      <c r="J14" s="86" t="s">
        <v>23</v>
      </c>
      <c r="K14" s="207" t="s">
        <v>72</v>
      </c>
      <c r="L14" s="236"/>
      <c r="M14" s="204"/>
      <c r="N14" s="204"/>
      <c r="O14" s="204"/>
    </row>
    <row r="15" spans="1:15" s="63" customFormat="1" ht="12" customHeight="1">
      <c r="A15" s="81">
        <v>14</v>
      </c>
      <c r="B15" s="81" t="s">
        <v>36</v>
      </c>
      <c r="C15" s="82" t="s">
        <v>36</v>
      </c>
      <c r="D15" s="83" t="s">
        <v>67</v>
      </c>
      <c r="E15" s="81">
        <v>2</v>
      </c>
      <c r="F15" s="81" t="str">
        <f t="shared" si="0"/>
        <v>budynek gospodarczy</v>
      </c>
      <c r="G15" s="81" t="s">
        <v>10</v>
      </c>
      <c r="H15" s="84">
        <f>7.5*2*24</f>
        <v>360</v>
      </c>
      <c r="I15" s="85">
        <f t="shared" si="1"/>
        <v>6.12</v>
      </c>
      <c r="J15" s="86" t="s">
        <v>26</v>
      </c>
      <c r="K15" s="207" t="s">
        <v>74</v>
      </c>
      <c r="L15" s="236"/>
      <c r="M15" s="204"/>
      <c r="N15" s="204"/>
      <c r="O15" s="204"/>
    </row>
    <row r="16" spans="1:15" s="63" customFormat="1" ht="10.5" customHeight="1">
      <c r="A16" s="81">
        <v>15</v>
      </c>
      <c r="B16" s="81" t="s">
        <v>36</v>
      </c>
      <c r="C16" s="82" t="s">
        <v>36</v>
      </c>
      <c r="D16" s="83" t="s">
        <v>68</v>
      </c>
      <c r="E16" s="81">
        <v>2</v>
      </c>
      <c r="F16" s="81" t="str">
        <f t="shared" si="0"/>
        <v>budynek gospodarczy</v>
      </c>
      <c r="G16" s="81" t="s">
        <v>10</v>
      </c>
      <c r="H16" s="84">
        <f>4*2*20</f>
        <v>160</v>
      </c>
      <c r="I16" s="85">
        <f t="shared" si="1"/>
        <v>2.72</v>
      </c>
      <c r="J16" s="86" t="s">
        <v>26</v>
      </c>
      <c r="K16" s="207" t="s">
        <v>74</v>
      </c>
      <c r="L16" s="236"/>
      <c r="M16" s="204"/>
      <c r="N16" s="204"/>
      <c r="O16" s="204"/>
    </row>
    <row r="17" spans="1:15" s="63" customFormat="1" ht="13.5" customHeight="1">
      <c r="A17" s="81">
        <v>16</v>
      </c>
      <c r="B17" s="81" t="s">
        <v>36</v>
      </c>
      <c r="C17" s="82" t="s">
        <v>36</v>
      </c>
      <c r="D17" s="83" t="s">
        <v>68</v>
      </c>
      <c r="E17" s="81">
        <v>2</v>
      </c>
      <c r="F17" s="81" t="str">
        <f t="shared" si="0"/>
        <v>budynek gospodarczy</v>
      </c>
      <c r="G17" s="81" t="s">
        <v>10</v>
      </c>
      <c r="H17" s="84">
        <f>3*2*6</f>
        <v>36</v>
      </c>
      <c r="I17" s="85">
        <f t="shared" si="1"/>
        <v>0.6120000000000001</v>
      </c>
      <c r="J17" s="86" t="s">
        <v>23</v>
      </c>
      <c r="K17" s="207" t="s">
        <v>72</v>
      </c>
      <c r="L17" s="236"/>
      <c r="M17" s="204"/>
      <c r="N17" s="204"/>
      <c r="O17" s="204"/>
    </row>
    <row r="18" spans="1:15" s="63" customFormat="1" ht="14.25" customHeight="1">
      <c r="A18" s="81">
        <v>17</v>
      </c>
      <c r="B18" s="81" t="s">
        <v>36</v>
      </c>
      <c r="C18" s="82" t="s">
        <v>36</v>
      </c>
      <c r="D18" s="83" t="s">
        <v>68</v>
      </c>
      <c r="E18" s="81">
        <v>2</v>
      </c>
      <c r="F18" s="81" t="str">
        <f t="shared" si="0"/>
        <v>budynek gospodarczy</v>
      </c>
      <c r="G18" s="81" t="s">
        <v>10</v>
      </c>
      <c r="H18" s="84">
        <f>2*2*3</f>
        <v>12</v>
      </c>
      <c r="I18" s="85">
        <f t="shared" si="1"/>
        <v>0.20400000000000001</v>
      </c>
      <c r="J18" s="86" t="s">
        <v>23</v>
      </c>
      <c r="K18" s="207" t="s">
        <v>72</v>
      </c>
      <c r="L18" s="236"/>
      <c r="M18" s="204"/>
      <c r="N18" s="204"/>
      <c r="O18" s="204"/>
    </row>
    <row r="19" spans="1:15" s="63" customFormat="1" ht="11.25" customHeight="1">
      <c r="A19" s="81">
        <v>18</v>
      </c>
      <c r="B19" s="81" t="s">
        <v>36</v>
      </c>
      <c r="C19" s="82" t="s">
        <v>36</v>
      </c>
      <c r="D19" s="83" t="s">
        <v>58</v>
      </c>
      <c r="E19" s="81">
        <v>2</v>
      </c>
      <c r="F19" s="81" t="str">
        <f t="shared" si="0"/>
        <v>budynek gospodarczy</v>
      </c>
      <c r="G19" s="81" t="s">
        <v>10</v>
      </c>
      <c r="H19" s="84">
        <f>6*2*30</f>
        <v>360</v>
      </c>
      <c r="I19" s="85">
        <f t="shared" si="1"/>
        <v>6.12</v>
      </c>
      <c r="J19" s="86" t="s">
        <v>26</v>
      </c>
      <c r="K19" s="207" t="s">
        <v>74</v>
      </c>
      <c r="L19" s="236"/>
      <c r="M19" s="204"/>
      <c r="N19" s="204"/>
      <c r="O19" s="204"/>
    </row>
    <row r="20" spans="1:15" s="63" customFormat="1" ht="11.25">
      <c r="A20" s="81">
        <v>19</v>
      </c>
      <c r="B20" s="81" t="s">
        <v>36</v>
      </c>
      <c r="C20" s="177" t="s">
        <v>36</v>
      </c>
      <c r="D20" s="83" t="s">
        <v>69</v>
      </c>
      <c r="E20" s="81">
        <v>2</v>
      </c>
      <c r="F20" s="81" t="str">
        <f t="shared" si="0"/>
        <v>budynek gospodarczy</v>
      </c>
      <c r="G20" s="81" t="s">
        <v>10</v>
      </c>
      <c r="H20" s="84">
        <f>6*2*23</f>
        <v>276</v>
      </c>
      <c r="I20" s="85">
        <f t="shared" si="1"/>
        <v>4.692</v>
      </c>
      <c r="J20" s="86" t="s">
        <v>26</v>
      </c>
      <c r="K20" s="207" t="s">
        <v>74</v>
      </c>
      <c r="L20" s="242"/>
      <c r="M20" s="241"/>
      <c r="N20" s="204"/>
      <c r="O20" s="204"/>
    </row>
    <row r="21" spans="1:15" s="63" customFormat="1" ht="11.25">
      <c r="A21" s="81">
        <v>20</v>
      </c>
      <c r="B21" s="81" t="s">
        <v>36</v>
      </c>
      <c r="C21" s="177" t="s">
        <v>36</v>
      </c>
      <c r="D21" s="83" t="s">
        <v>70</v>
      </c>
      <c r="E21" s="81">
        <v>2</v>
      </c>
      <c r="F21" s="81" t="str">
        <f t="shared" si="0"/>
        <v>budynek gospodarczy</v>
      </c>
      <c r="G21" s="81" t="s">
        <v>10</v>
      </c>
      <c r="H21" s="84">
        <f>5*2*22-(5*5)</f>
        <v>195</v>
      </c>
      <c r="I21" s="85">
        <f t="shared" si="1"/>
        <v>3.3150000000000004</v>
      </c>
      <c r="J21" s="86" t="s">
        <v>26</v>
      </c>
      <c r="K21" s="207" t="s">
        <v>74</v>
      </c>
      <c r="L21" s="242"/>
      <c r="M21" s="204"/>
      <c r="N21" s="204"/>
      <c r="O21" s="204"/>
    </row>
    <row r="22" spans="1:15" s="63" customFormat="1" ht="11.25">
      <c r="A22" s="81">
        <v>21</v>
      </c>
      <c r="B22" s="81" t="s">
        <v>36</v>
      </c>
      <c r="C22" s="177" t="s">
        <v>36</v>
      </c>
      <c r="D22" s="83" t="s">
        <v>70</v>
      </c>
      <c r="E22" s="81">
        <v>2</v>
      </c>
      <c r="F22" s="81" t="str">
        <f t="shared" si="0"/>
        <v>budynek gospodarczy</v>
      </c>
      <c r="G22" s="81" t="s">
        <v>10</v>
      </c>
      <c r="H22" s="84">
        <f>7*10</f>
        <v>70</v>
      </c>
      <c r="I22" s="85">
        <f t="shared" si="1"/>
        <v>1.1900000000000002</v>
      </c>
      <c r="J22" s="86" t="s">
        <v>26</v>
      </c>
      <c r="K22" s="207" t="s">
        <v>74</v>
      </c>
      <c r="L22" s="242"/>
      <c r="M22" s="204"/>
      <c r="N22" s="204"/>
      <c r="O22" s="204"/>
    </row>
    <row r="23" spans="1:15" s="63" customFormat="1" ht="11.25">
      <c r="A23" s="81">
        <v>22</v>
      </c>
      <c r="B23" s="81" t="s">
        <v>36</v>
      </c>
      <c r="C23" s="177" t="s">
        <v>36</v>
      </c>
      <c r="D23" s="178" t="s">
        <v>215</v>
      </c>
      <c r="E23" s="81">
        <v>2</v>
      </c>
      <c r="F23" s="81" t="str">
        <f t="shared" si="0"/>
        <v>budynek gospodarczy</v>
      </c>
      <c r="G23" s="81" t="s">
        <v>10</v>
      </c>
      <c r="H23" s="84">
        <v>280</v>
      </c>
      <c r="I23" s="85">
        <f t="shared" si="1"/>
        <v>4.760000000000001</v>
      </c>
      <c r="J23" s="86" t="s">
        <v>26</v>
      </c>
      <c r="K23" s="208" t="s">
        <v>206</v>
      </c>
      <c r="L23" s="236"/>
      <c r="M23" s="231"/>
      <c r="N23" s="204"/>
      <c r="O23" s="204"/>
    </row>
    <row r="24" spans="1:15" s="63" customFormat="1" ht="11.25">
      <c r="A24" s="81">
        <v>23</v>
      </c>
      <c r="B24" s="81" t="s">
        <v>36</v>
      </c>
      <c r="C24" s="177" t="s">
        <v>36</v>
      </c>
      <c r="D24" s="83" t="s">
        <v>59</v>
      </c>
      <c r="E24" s="81">
        <v>2</v>
      </c>
      <c r="F24" s="81" t="str">
        <f t="shared" si="0"/>
        <v>budynek gospodarczy</v>
      </c>
      <c r="G24" s="81" t="s">
        <v>10</v>
      </c>
      <c r="H24" s="84">
        <f>5*20+(5+5+20)*2.2</f>
        <v>166</v>
      </c>
      <c r="I24" s="85">
        <f t="shared" si="1"/>
        <v>2.822</v>
      </c>
      <c r="J24" s="86" t="s">
        <v>26</v>
      </c>
      <c r="K24" s="207" t="s">
        <v>74</v>
      </c>
      <c r="L24" s="236"/>
      <c r="M24" s="204"/>
      <c r="N24" s="204"/>
      <c r="O24" s="204"/>
    </row>
    <row r="25" spans="1:15" s="63" customFormat="1" ht="11.25">
      <c r="A25" s="81">
        <v>24</v>
      </c>
      <c r="B25" s="81" t="s">
        <v>36</v>
      </c>
      <c r="C25" s="177" t="s">
        <v>36</v>
      </c>
      <c r="D25" s="83" t="s">
        <v>59</v>
      </c>
      <c r="E25" s="81">
        <v>2</v>
      </c>
      <c r="F25" s="81" t="str">
        <f t="shared" si="0"/>
        <v>budynek gospodarczy</v>
      </c>
      <c r="G25" s="81" t="s">
        <v>10</v>
      </c>
      <c r="H25" s="84">
        <f>6*10</f>
        <v>60</v>
      </c>
      <c r="I25" s="85">
        <f t="shared" si="1"/>
        <v>1.02</v>
      </c>
      <c r="J25" s="86" t="s">
        <v>26</v>
      </c>
      <c r="K25" s="207" t="s">
        <v>74</v>
      </c>
      <c r="L25" s="236"/>
      <c r="M25" s="204"/>
      <c r="N25" s="204"/>
      <c r="O25" s="204"/>
    </row>
    <row r="26" spans="1:15" s="63" customFormat="1" ht="11.25">
      <c r="A26" s="81">
        <v>25</v>
      </c>
      <c r="B26" s="81" t="s">
        <v>36</v>
      </c>
      <c r="C26" s="177" t="s">
        <v>36</v>
      </c>
      <c r="D26" s="83" t="s">
        <v>59</v>
      </c>
      <c r="E26" s="81">
        <v>2</v>
      </c>
      <c r="F26" s="81" t="str">
        <f t="shared" si="0"/>
        <v>budynek gospodarczy</v>
      </c>
      <c r="G26" s="81" t="s">
        <v>10</v>
      </c>
      <c r="H26" s="84">
        <f>6*4</f>
        <v>24</v>
      </c>
      <c r="I26" s="85">
        <f t="shared" si="1"/>
        <v>0.40800000000000003</v>
      </c>
      <c r="J26" s="86" t="s">
        <v>23</v>
      </c>
      <c r="K26" s="207" t="s">
        <v>72</v>
      </c>
      <c r="L26" s="243"/>
      <c r="M26" s="204"/>
      <c r="N26" s="204"/>
      <c r="O26" s="204"/>
    </row>
    <row r="27" spans="1:15" s="63" customFormat="1" ht="11.25">
      <c r="A27" s="81">
        <v>26</v>
      </c>
      <c r="B27" s="81" t="s">
        <v>36</v>
      </c>
      <c r="C27" s="177" t="s">
        <v>36</v>
      </c>
      <c r="D27" s="83" t="s">
        <v>59</v>
      </c>
      <c r="E27" s="81">
        <v>2</v>
      </c>
      <c r="F27" s="81" t="str">
        <f t="shared" si="0"/>
        <v>budynek gospodarczy</v>
      </c>
      <c r="G27" s="81" t="s">
        <v>10</v>
      </c>
      <c r="H27" s="84">
        <f>4*8</f>
        <v>32</v>
      </c>
      <c r="I27" s="85">
        <f>0.017*H27</f>
        <v>0.544</v>
      </c>
      <c r="J27" s="86" t="s">
        <v>23</v>
      </c>
      <c r="K27" s="207" t="s">
        <v>72</v>
      </c>
      <c r="L27" s="236"/>
      <c r="M27" s="204"/>
      <c r="N27" s="204"/>
      <c r="O27" s="204"/>
    </row>
    <row r="28" spans="1:15" s="63" customFormat="1" ht="11.25">
      <c r="A28" s="81">
        <v>27</v>
      </c>
      <c r="B28" s="81" t="s">
        <v>36</v>
      </c>
      <c r="C28" s="177" t="s">
        <v>36</v>
      </c>
      <c r="D28" s="83" t="s">
        <v>189</v>
      </c>
      <c r="E28" s="81">
        <v>2</v>
      </c>
      <c r="F28" s="81" t="str">
        <f t="shared" si="0"/>
        <v>budynek gospodarczy</v>
      </c>
      <c r="G28" s="81" t="s">
        <v>10</v>
      </c>
      <c r="H28" s="84">
        <v>77</v>
      </c>
      <c r="I28" s="85">
        <f>0.017*H28</f>
        <v>1.3090000000000002</v>
      </c>
      <c r="J28" s="86" t="s">
        <v>26</v>
      </c>
      <c r="K28" s="208" t="s">
        <v>206</v>
      </c>
      <c r="L28" s="236"/>
      <c r="M28" s="204"/>
      <c r="N28" s="204"/>
      <c r="O28" s="204"/>
    </row>
    <row r="29" spans="1:15" s="63" customFormat="1" ht="11.25">
      <c r="A29" s="81">
        <v>28</v>
      </c>
      <c r="B29" s="81" t="s">
        <v>36</v>
      </c>
      <c r="C29" s="177" t="s">
        <v>36</v>
      </c>
      <c r="D29" s="83" t="s">
        <v>60</v>
      </c>
      <c r="E29" s="81">
        <v>2</v>
      </c>
      <c r="F29" s="81" t="str">
        <f t="shared" si="0"/>
        <v>budynek gospodarczy</v>
      </c>
      <c r="G29" s="81" t="s">
        <v>10</v>
      </c>
      <c r="H29" s="84">
        <f>6*2*10</f>
        <v>120</v>
      </c>
      <c r="I29" s="85">
        <f>0.017*H29</f>
        <v>2.04</v>
      </c>
      <c r="J29" s="86" t="s">
        <v>26</v>
      </c>
      <c r="K29" s="207" t="s">
        <v>74</v>
      </c>
      <c r="L29" s="236"/>
      <c r="M29" s="204"/>
      <c r="N29" s="204"/>
      <c r="O29" s="204"/>
    </row>
    <row r="30" spans="1:15" s="63" customFormat="1" ht="11.25">
      <c r="A30" s="81">
        <v>29</v>
      </c>
      <c r="B30" s="81" t="s">
        <v>36</v>
      </c>
      <c r="C30" s="177" t="s">
        <v>36</v>
      </c>
      <c r="D30" s="83" t="s">
        <v>60</v>
      </c>
      <c r="E30" s="81">
        <v>2</v>
      </c>
      <c r="F30" s="81" t="str">
        <f t="shared" si="0"/>
        <v>budynek gospodarczy</v>
      </c>
      <c r="G30" s="81" t="s">
        <v>10</v>
      </c>
      <c r="H30" s="84">
        <f>7*2*16</f>
        <v>224</v>
      </c>
      <c r="I30" s="85">
        <f>0.017*H30</f>
        <v>3.8080000000000003</v>
      </c>
      <c r="J30" s="86" t="s">
        <v>26</v>
      </c>
      <c r="K30" s="207" t="s">
        <v>74</v>
      </c>
      <c r="L30" s="236"/>
      <c r="M30" s="204"/>
      <c r="N30" s="204"/>
      <c r="O30" s="204"/>
    </row>
    <row r="31" spans="10:11" ht="11.25">
      <c r="J31" s="6"/>
      <c r="K31" s="6"/>
    </row>
    <row r="32" spans="7:11" ht="11.25">
      <c r="G32" s="2" t="s">
        <v>11</v>
      </c>
      <c r="H32" s="13">
        <f>SUM(H2:H30)</f>
        <v>4930</v>
      </c>
      <c r="I32" s="7">
        <f>SUM(I2:I30)</f>
        <v>83.81</v>
      </c>
      <c r="J32" s="7"/>
      <c r="K32" s="7"/>
    </row>
    <row r="34" spans="6:14" ht="11.25">
      <c r="F34" s="8" t="s">
        <v>12</v>
      </c>
      <c r="G34" s="8" t="s">
        <v>13</v>
      </c>
      <c r="H34" s="8" t="s">
        <v>14</v>
      </c>
      <c r="I34" s="8" t="s">
        <v>15</v>
      </c>
      <c r="J34" s="256" t="s">
        <v>234</v>
      </c>
      <c r="K34" s="180" t="s">
        <v>230</v>
      </c>
      <c r="L34" s="180" t="s">
        <v>227</v>
      </c>
      <c r="M34" s="180" t="s">
        <v>228</v>
      </c>
      <c r="N34" s="180" t="s">
        <v>229</v>
      </c>
    </row>
    <row r="35" spans="6:14" ht="11.25">
      <c r="F35" s="10" t="s">
        <v>16</v>
      </c>
      <c r="G35" s="10">
        <v>0</v>
      </c>
      <c r="H35" s="14">
        <f>SUMIF(E$2:I30,E31,H$2:H30)</f>
        <v>0</v>
      </c>
      <c r="I35" s="59">
        <f>SUMIF(E$2:I30,E31,I$2:I30)</f>
        <v>0</v>
      </c>
      <c r="J35" s="257"/>
      <c r="K35" s="5"/>
      <c r="L35" s="11"/>
      <c r="M35" s="17"/>
      <c r="N35" s="11"/>
    </row>
    <row r="36" spans="6:14" ht="11.25">
      <c r="F36" s="10" t="s">
        <v>17</v>
      </c>
      <c r="G36" s="10">
        <v>29</v>
      </c>
      <c r="H36" s="14">
        <f>SUMIF(E$2:I30,E2,H$2:H30)</f>
        <v>4930</v>
      </c>
      <c r="I36" s="59">
        <f>SUMIF(E$2:I30,E2,I$2:I30)</f>
        <v>83.81</v>
      </c>
      <c r="J36" s="258"/>
      <c r="K36" s="10">
        <v>1134</v>
      </c>
      <c r="L36" s="10">
        <v>281</v>
      </c>
      <c r="M36" s="15"/>
      <c r="N36" s="11">
        <v>3515</v>
      </c>
    </row>
    <row r="37" spans="6:14" ht="11.25">
      <c r="F37" s="10" t="s">
        <v>18</v>
      </c>
      <c r="G37" s="10">
        <v>0</v>
      </c>
      <c r="H37" s="14">
        <f>SUMIF(E$2:I31,#REF!,H$2:H31)</f>
        <v>0</v>
      </c>
      <c r="I37" s="59">
        <f>SUMIF(E$2:I31,#REF!,I$2:I31)</f>
        <v>0</v>
      </c>
      <c r="J37" s="260">
        <v>115.294</v>
      </c>
      <c r="K37" s="11"/>
      <c r="L37" s="11"/>
      <c r="M37" s="16"/>
      <c r="N37" s="11"/>
    </row>
    <row r="38" spans="6:14" ht="11.25">
      <c r="F38" s="10" t="s">
        <v>10</v>
      </c>
      <c r="G38" s="10">
        <v>29</v>
      </c>
      <c r="H38" s="14">
        <f>SUMIF(G$2:I30,G3,H$2:H30)</f>
        <v>4930</v>
      </c>
      <c r="I38" s="59">
        <f>SUMIF(G$2:I30,G$2,I$2:I30)</f>
        <v>83.81</v>
      </c>
      <c r="J38" s="260">
        <v>115.294</v>
      </c>
      <c r="K38" s="59">
        <v>1134</v>
      </c>
      <c r="L38" s="59">
        <v>281</v>
      </c>
      <c r="M38" s="62"/>
      <c r="N38" s="59">
        <v>3515</v>
      </c>
    </row>
    <row r="39" spans="6:14" ht="11.25">
      <c r="F39" s="10" t="s">
        <v>19</v>
      </c>
      <c r="G39" s="10"/>
      <c r="H39" s="14">
        <f>SUMIF(G$2:I31,#REF!,H$2:H31)</f>
        <v>0</v>
      </c>
      <c r="I39" s="59">
        <f>SUMIF(G$2:I31,#REF!,I$2:I31)</f>
        <v>0</v>
      </c>
      <c r="J39" s="257"/>
      <c r="K39" s="11"/>
      <c r="L39" s="11"/>
      <c r="M39" s="16"/>
      <c r="N39" s="11"/>
    </row>
    <row r="40" spans="6:14" ht="11.25">
      <c r="F40" s="10" t="s">
        <v>20</v>
      </c>
      <c r="G40" s="10"/>
      <c r="H40" s="14">
        <f>SUMIF(G$2:I32,#REF!,H$2:H32)</f>
        <v>0</v>
      </c>
      <c r="I40" s="59">
        <f>SUMIF(G$2:I32,#REF!,I$2:I32)</f>
        <v>0</v>
      </c>
      <c r="J40" s="257"/>
      <c r="K40" s="11"/>
      <c r="L40" s="11"/>
      <c r="M40" s="16"/>
      <c r="N40" s="11"/>
    </row>
    <row r="41" spans="6:14" ht="11.25">
      <c r="F41" s="10" t="s">
        <v>21</v>
      </c>
      <c r="G41" s="10"/>
      <c r="H41" s="12"/>
      <c r="I41" s="12"/>
      <c r="J41" s="257"/>
      <c r="K41" s="11"/>
      <c r="L41" s="11"/>
      <c r="M41" s="16"/>
      <c r="N41" s="11"/>
    </row>
  </sheetData>
  <sheetProtection/>
  <autoFilter ref="A1:O30"/>
  <printOptions/>
  <pageMargins left="0.31" right="0.27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25" sqref="D25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1" width="9.140625" style="2" customWidth="1" outlineLevel="1"/>
    <col min="12" max="12" width="9.8515625" style="15" customWidth="1"/>
    <col min="13" max="13" width="9.8515625" style="2" customWidth="1"/>
    <col min="14" max="14" width="10.28125" style="2" customWidth="1"/>
    <col min="15" max="15" width="10.140625" style="2" customWidth="1"/>
    <col min="16" max="16384" width="9.140625" style="2" customWidth="1"/>
  </cols>
  <sheetData>
    <row r="1" spans="1:15" s="1" customFormat="1" ht="45">
      <c r="A1" s="78" t="s">
        <v>0</v>
      </c>
      <c r="B1" s="78" t="s">
        <v>1</v>
      </c>
      <c r="C1" s="78" t="s">
        <v>2</v>
      </c>
      <c r="D1" s="79" t="s">
        <v>3</v>
      </c>
      <c r="E1" s="78"/>
      <c r="F1" s="78" t="s">
        <v>4</v>
      </c>
      <c r="G1" s="78" t="s">
        <v>5</v>
      </c>
      <c r="H1" s="78" t="s">
        <v>6</v>
      </c>
      <c r="I1" s="78" t="s">
        <v>7</v>
      </c>
      <c r="J1" s="78" t="s">
        <v>8</v>
      </c>
      <c r="K1" s="206" t="s">
        <v>9</v>
      </c>
      <c r="L1" s="214"/>
      <c r="M1" s="201"/>
      <c r="N1" s="201"/>
      <c r="O1" s="201"/>
    </row>
    <row r="2" spans="1:15" s="63" customFormat="1" ht="15" customHeight="1">
      <c r="A2" s="81">
        <v>1</v>
      </c>
      <c r="B2" s="81" t="s">
        <v>37</v>
      </c>
      <c r="C2" s="82" t="s">
        <v>37</v>
      </c>
      <c r="D2" s="83" t="s">
        <v>184</v>
      </c>
      <c r="E2" s="81">
        <v>2</v>
      </c>
      <c r="F2" s="81" t="str">
        <f aca="true" t="shared" si="0" ref="F2:F15">IF(E2=2,"budynek gospodarczy","budynek mieszkalny")</f>
        <v>budynek gospodarczy</v>
      </c>
      <c r="G2" s="81" t="s">
        <v>10</v>
      </c>
      <c r="H2" s="84">
        <f>2*10</f>
        <v>20</v>
      </c>
      <c r="I2" s="85">
        <f>0.017*H2</f>
        <v>0.34</v>
      </c>
      <c r="J2" s="86" t="s">
        <v>23</v>
      </c>
      <c r="K2" s="207" t="s">
        <v>72</v>
      </c>
      <c r="L2" s="236"/>
      <c r="M2" s="204"/>
      <c r="N2" s="204"/>
      <c r="O2" s="204"/>
    </row>
    <row r="3" spans="1:15" s="63" customFormat="1" ht="15" customHeight="1">
      <c r="A3" s="81">
        <v>2</v>
      </c>
      <c r="B3" s="81" t="s">
        <v>37</v>
      </c>
      <c r="C3" s="82" t="s">
        <v>37</v>
      </c>
      <c r="D3" s="83" t="s">
        <v>184</v>
      </c>
      <c r="E3" s="81">
        <v>2</v>
      </c>
      <c r="F3" s="81" t="str">
        <f t="shared" si="0"/>
        <v>budynek gospodarczy</v>
      </c>
      <c r="G3" s="81" t="s">
        <v>10</v>
      </c>
      <c r="H3" s="84">
        <f>4.5*20+30</f>
        <v>120</v>
      </c>
      <c r="I3" s="85">
        <f aca="true" t="shared" si="1" ref="I3:I15">0.017*H3</f>
        <v>2.04</v>
      </c>
      <c r="J3" s="86" t="s">
        <v>26</v>
      </c>
      <c r="K3" s="207" t="s">
        <v>74</v>
      </c>
      <c r="L3" s="236"/>
      <c r="M3" s="204"/>
      <c r="N3" s="204"/>
      <c r="O3" s="204"/>
    </row>
    <row r="4" spans="1:15" s="63" customFormat="1" ht="13.5" customHeight="1">
      <c r="A4" s="81">
        <v>3</v>
      </c>
      <c r="B4" s="81" t="s">
        <v>37</v>
      </c>
      <c r="C4" s="82" t="s">
        <v>37</v>
      </c>
      <c r="D4" s="83" t="s">
        <v>33</v>
      </c>
      <c r="E4" s="81">
        <v>2</v>
      </c>
      <c r="F4" s="81" t="str">
        <f t="shared" si="0"/>
        <v>budynek gospodarczy</v>
      </c>
      <c r="G4" s="81" t="s">
        <v>10</v>
      </c>
      <c r="H4" s="84">
        <f>4.5*2*12</f>
        <v>108</v>
      </c>
      <c r="I4" s="85">
        <f t="shared" si="1"/>
        <v>1.836</v>
      </c>
      <c r="J4" s="86" t="s">
        <v>26</v>
      </c>
      <c r="K4" s="207" t="s">
        <v>74</v>
      </c>
      <c r="L4" s="236"/>
      <c r="M4" s="204"/>
      <c r="N4" s="204"/>
      <c r="O4" s="204"/>
    </row>
    <row r="5" spans="1:15" s="63" customFormat="1" ht="11.25">
      <c r="A5" s="81">
        <v>4</v>
      </c>
      <c r="B5" s="81" t="s">
        <v>37</v>
      </c>
      <c r="C5" s="82" t="s">
        <v>37</v>
      </c>
      <c r="D5" s="83" t="s">
        <v>197</v>
      </c>
      <c r="E5" s="81">
        <v>2</v>
      </c>
      <c r="F5" s="81" t="str">
        <f t="shared" si="0"/>
        <v>budynek gospodarczy</v>
      </c>
      <c r="G5" s="81" t="s">
        <v>10</v>
      </c>
      <c r="H5" s="84">
        <f>4*4</f>
        <v>16</v>
      </c>
      <c r="I5" s="85">
        <f t="shared" si="1"/>
        <v>0.272</v>
      </c>
      <c r="J5" s="86" t="s">
        <v>23</v>
      </c>
      <c r="K5" s="207" t="s">
        <v>72</v>
      </c>
      <c r="L5" s="236"/>
      <c r="M5" s="204"/>
      <c r="N5" s="204"/>
      <c r="O5" s="204"/>
    </row>
    <row r="6" spans="1:15" s="63" customFormat="1" ht="11.25">
      <c r="A6" s="81">
        <v>5</v>
      </c>
      <c r="B6" s="81" t="s">
        <v>37</v>
      </c>
      <c r="C6" s="82" t="s">
        <v>37</v>
      </c>
      <c r="D6" s="83" t="s">
        <v>185</v>
      </c>
      <c r="E6" s="81">
        <v>2</v>
      </c>
      <c r="F6" s="81" t="str">
        <f t="shared" si="0"/>
        <v>budynek gospodarczy</v>
      </c>
      <c r="G6" s="81" t="s">
        <v>10</v>
      </c>
      <c r="H6" s="84">
        <f>3*2*10</f>
        <v>60</v>
      </c>
      <c r="I6" s="85">
        <f t="shared" si="1"/>
        <v>1.02</v>
      </c>
      <c r="J6" s="86" t="s">
        <v>26</v>
      </c>
      <c r="K6" s="207" t="s">
        <v>74</v>
      </c>
      <c r="L6" s="236"/>
      <c r="M6" s="231"/>
      <c r="N6" s="204"/>
      <c r="O6" s="204"/>
    </row>
    <row r="7" spans="1:15" s="63" customFormat="1" ht="11.25">
      <c r="A7" s="81">
        <v>6</v>
      </c>
      <c r="B7" s="81" t="s">
        <v>37</v>
      </c>
      <c r="C7" s="82" t="s">
        <v>37</v>
      </c>
      <c r="D7" s="83" t="s">
        <v>185</v>
      </c>
      <c r="E7" s="81">
        <v>2</v>
      </c>
      <c r="F7" s="81" t="str">
        <f t="shared" si="0"/>
        <v>budynek gospodarczy</v>
      </c>
      <c r="G7" s="81" t="s">
        <v>10</v>
      </c>
      <c r="H7" s="84">
        <f>5*5</f>
        <v>25</v>
      </c>
      <c r="I7" s="85">
        <f t="shared" si="1"/>
        <v>0.42500000000000004</v>
      </c>
      <c r="J7" s="86" t="s">
        <v>23</v>
      </c>
      <c r="K7" s="207" t="s">
        <v>72</v>
      </c>
      <c r="L7" s="236"/>
      <c r="M7" s="231"/>
      <c r="N7" s="204"/>
      <c r="O7" s="204"/>
    </row>
    <row r="8" spans="1:15" s="63" customFormat="1" ht="11.25">
      <c r="A8" s="81">
        <v>7</v>
      </c>
      <c r="B8" s="81" t="s">
        <v>37</v>
      </c>
      <c r="C8" s="82" t="s">
        <v>37</v>
      </c>
      <c r="D8" s="83" t="s">
        <v>185</v>
      </c>
      <c r="E8" s="81">
        <v>2</v>
      </c>
      <c r="F8" s="81" t="str">
        <f t="shared" si="0"/>
        <v>budynek gospodarczy</v>
      </c>
      <c r="G8" s="81" t="s">
        <v>10</v>
      </c>
      <c r="H8" s="84">
        <f>5*12</f>
        <v>60</v>
      </c>
      <c r="I8" s="85">
        <f t="shared" si="1"/>
        <v>1.02</v>
      </c>
      <c r="J8" s="86" t="s">
        <v>26</v>
      </c>
      <c r="K8" s="207" t="s">
        <v>74</v>
      </c>
      <c r="L8" s="236"/>
      <c r="M8" s="204"/>
      <c r="N8" s="204"/>
      <c r="O8" s="204"/>
    </row>
    <row r="9" spans="1:15" s="63" customFormat="1" ht="11.25">
      <c r="A9" s="81">
        <v>8</v>
      </c>
      <c r="B9" s="81" t="s">
        <v>37</v>
      </c>
      <c r="C9" s="82" t="s">
        <v>37</v>
      </c>
      <c r="D9" s="83" t="s">
        <v>185</v>
      </c>
      <c r="E9" s="81">
        <v>2</v>
      </c>
      <c r="F9" s="81" t="str">
        <f t="shared" si="0"/>
        <v>budynek gospodarczy</v>
      </c>
      <c r="G9" s="81" t="s">
        <v>10</v>
      </c>
      <c r="H9" s="84">
        <f>4*6</f>
        <v>24</v>
      </c>
      <c r="I9" s="85">
        <f t="shared" si="1"/>
        <v>0.40800000000000003</v>
      </c>
      <c r="J9" s="86" t="s">
        <v>23</v>
      </c>
      <c r="K9" s="207" t="s">
        <v>72</v>
      </c>
      <c r="L9" s="236"/>
      <c r="M9" s="204"/>
      <c r="N9" s="204"/>
      <c r="O9" s="204"/>
    </row>
    <row r="10" spans="1:15" s="63" customFormat="1" ht="11.25">
      <c r="A10" s="81">
        <v>9</v>
      </c>
      <c r="B10" s="81" t="s">
        <v>37</v>
      </c>
      <c r="C10" s="82" t="s">
        <v>37</v>
      </c>
      <c r="D10" s="83" t="s">
        <v>186</v>
      </c>
      <c r="E10" s="81">
        <v>2</v>
      </c>
      <c r="F10" s="81" t="str">
        <f t="shared" si="0"/>
        <v>budynek gospodarczy</v>
      </c>
      <c r="G10" s="81" t="s">
        <v>10</v>
      </c>
      <c r="H10" s="84">
        <f>5*2*10</f>
        <v>100</v>
      </c>
      <c r="I10" s="85">
        <f t="shared" si="1"/>
        <v>1.7000000000000002</v>
      </c>
      <c r="J10" s="86" t="s">
        <v>26</v>
      </c>
      <c r="K10" s="207" t="s">
        <v>74</v>
      </c>
      <c r="L10" s="236"/>
      <c r="M10" s="204"/>
      <c r="N10" s="204"/>
      <c r="O10" s="204"/>
    </row>
    <row r="11" spans="1:15" s="63" customFormat="1" ht="10.5" customHeight="1">
      <c r="A11" s="81">
        <v>10</v>
      </c>
      <c r="B11" s="81" t="s">
        <v>37</v>
      </c>
      <c r="C11" s="82" t="s">
        <v>37</v>
      </c>
      <c r="D11" s="83" t="s">
        <v>187</v>
      </c>
      <c r="E11" s="81">
        <v>2</v>
      </c>
      <c r="F11" s="81" t="str">
        <f t="shared" si="0"/>
        <v>budynek gospodarczy</v>
      </c>
      <c r="G11" s="81" t="s">
        <v>10</v>
      </c>
      <c r="H11" s="84">
        <f>5*20</f>
        <v>100</v>
      </c>
      <c r="I11" s="85">
        <f t="shared" si="1"/>
        <v>1.7000000000000002</v>
      </c>
      <c r="J11" s="86" t="s">
        <v>26</v>
      </c>
      <c r="K11" s="207" t="s">
        <v>74</v>
      </c>
      <c r="L11" s="236"/>
      <c r="M11" s="204"/>
      <c r="N11" s="204"/>
      <c r="O11" s="204"/>
    </row>
    <row r="12" spans="1:15" s="63" customFormat="1" ht="12" customHeight="1">
      <c r="A12" s="81">
        <v>11</v>
      </c>
      <c r="B12" s="81" t="s">
        <v>37</v>
      </c>
      <c r="C12" s="82" t="s">
        <v>37</v>
      </c>
      <c r="D12" s="83" t="s">
        <v>187</v>
      </c>
      <c r="E12" s="81">
        <v>2</v>
      </c>
      <c r="F12" s="81" t="str">
        <f t="shared" si="0"/>
        <v>budynek gospodarczy</v>
      </c>
      <c r="G12" s="81" t="s">
        <v>10</v>
      </c>
      <c r="H12" s="84">
        <f>3.5*4</f>
        <v>14</v>
      </c>
      <c r="I12" s="85">
        <f t="shared" si="1"/>
        <v>0.23800000000000002</v>
      </c>
      <c r="J12" s="86" t="s">
        <v>23</v>
      </c>
      <c r="K12" s="207" t="s">
        <v>72</v>
      </c>
      <c r="L12" s="236"/>
      <c r="M12" s="204"/>
      <c r="N12" s="204"/>
      <c r="O12" s="204"/>
    </row>
    <row r="13" spans="1:15" s="63" customFormat="1" ht="15.75" customHeight="1">
      <c r="A13" s="81">
        <v>12</v>
      </c>
      <c r="B13" s="81" t="s">
        <v>37</v>
      </c>
      <c r="C13" s="82" t="s">
        <v>37</v>
      </c>
      <c r="D13" s="83" t="s">
        <v>187</v>
      </c>
      <c r="E13" s="81">
        <v>2</v>
      </c>
      <c r="F13" s="81" t="str">
        <f t="shared" si="0"/>
        <v>budynek gospodarczy</v>
      </c>
      <c r="G13" s="81" t="s">
        <v>10</v>
      </c>
      <c r="H13" s="84">
        <f>4*6</f>
        <v>24</v>
      </c>
      <c r="I13" s="85">
        <f t="shared" si="1"/>
        <v>0.40800000000000003</v>
      </c>
      <c r="J13" s="86" t="s">
        <v>23</v>
      </c>
      <c r="K13" s="207" t="s">
        <v>72</v>
      </c>
      <c r="L13" s="236"/>
      <c r="M13" s="204"/>
      <c r="N13" s="204"/>
      <c r="O13" s="204"/>
    </row>
    <row r="14" spans="1:15" s="63" customFormat="1" ht="11.25">
      <c r="A14" s="81">
        <v>13</v>
      </c>
      <c r="B14" s="81" t="s">
        <v>37</v>
      </c>
      <c r="C14" s="82" t="s">
        <v>37</v>
      </c>
      <c r="D14" s="83" t="s">
        <v>188</v>
      </c>
      <c r="E14" s="81">
        <v>2</v>
      </c>
      <c r="F14" s="81" t="str">
        <f t="shared" si="0"/>
        <v>budynek gospodarczy</v>
      </c>
      <c r="G14" s="81" t="s">
        <v>10</v>
      </c>
      <c r="H14" s="84">
        <f>6.5*2*25</f>
        <v>325</v>
      </c>
      <c r="I14" s="85">
        <f t="shared" si="1"/>
        <v>5.525</v>
      </c>
      <c r="J14" s="86" t="s">
        <v>26</v>
      </c>
      <c r="K14" s="207" t="s">
        <v>74</v>
      </c>
      <c r="L14" s="236"/>
      <c r="M14" s="204"/>
      <c r="N14" s="204"/>
      <c r="O14" s="204"/>
    </row>
    <row r="15" spans="1:15" s="63" customFormat="1" ht="11.25">
      <c r="A15" s="81">
        <v>14</v>
      </c>
      <c r="B15" s="81" t="s">
        <v>37</v>
      </c>
      <c r="C15" s="82" t="s">
        <v>37</v>
      </c>
      <c r="D15" s="83" t="s">
        <v>188</v>
      </c>
      <c r="E15" s="81">
        <v>2</v>
      </c>
      <c r="F15" s="81" t="str">
        <f t="shared" si="0"/>
        <v>budynek gospodarczy</v>
      </c>
      <c r="G15" s="81" t="s">
        <v>10</v>
      </c>
      <c r="H15" s="84">
        <f>4*12</f>
        <v>48</v>
      </c>
      <c r="I15" s="85">
        <f t="shared" si="1"/>
        <v>0.8160000000000001</v>
      </c>
      <c r="J15" s="86" t="s">
        <v>23</v>
      </c>
      <c r="K15" s="207" t="s">
        <v>72</v>
      </c>
      <c r="L15" s="236"/>
      <c r="M15" s="204"/>
      <c r="N15" s="204"/>
      <c r="O15" s="204"/>
    </row>
    <row r="16" spans="9:11" ht="11.25">
      <c r="I16" s="60"/>
      <c r="J16" s="6"/>
      <c r="K16" s="6"/>
    </row>
    <row r="17" spans="7:11" ht="11.25">
      <c r="G17" s="2" t="s">
        <v>11</v>
      </c>
      <c r="H17" s="13">
        <f>SUM(H2:H15)</f>
        <v>1044</v>
      </c>
      <c r="I17" s="61">
        <f>SUM(I2:I15)</f>
        <v>17.748</v>
      </c>
      <c r="J17" s="7"/>
      <c r="K17" s="7"/>
    </row>
    <row r="19" spans="6:14" ht="11.25">
      <c r="F19" s="8" t="s">
        <v>12</v>
      </c>
      <c r="G19" s="8" t="s">
        <v>13</v>
      </c>
      <c r="H19" s="8" t="s">
        <v>14</v>
      </c>
      <c r="I19" s="8" t="s">
        <v>15</v>
      </c>
      <c r="J19" s="256" t="s">
        <v>234</v>
      </c>
      <c r="K19" s="180" t="s">
        <v>230</v>
      </c>
      <c r="L19" s="180" t="s">
        <v>227</v>
      </c>
      <c r="M19" s="180" t="s">
        <v>228</v>
      </c>
      <c r="N19" s="180" t="s">
        <v>229</v>
      </c>
    </row>
    <row r="20" spans="6:14" ht="11.25">
      <c r="F20" s="10" t="s">
        <v>16</v>
      </c>
      <c r="G20" s="10"/>
      <c r="H20" s="14"/>
      <c r="I20" s="59"/>
      <c r="J20" s="257"/>
      <c r="K20" s="5"/>
      <c r="L20" s="11"/>
      <c r="M20" s="17"/>
      <c r="N20" s="11"/>
    </row>
    <row r="21" spans="6:14" ht="11.25">
      <c r="F21" s="10" t="s">
        <v>17</v>
      </c>
      <c r="G21" s="10">
        <v>14</v>
      </c>
      <c r="H21" s="14">
        <f>SUMIF(E$2:I15,E2,H$2:H15)</f>
        <v>1044</v>
      </c>
      <c r="I21" s="59">
        <f>SUMIF(E$2:I15,E2,I$2:I15)</f>
        <v>17.748</v>
      </c>
      <c r="J21" s="258"/>
      <c r="K21" s="10"/>
      <c r="L21" s="10">
        <v>171</v>
      </c>
      <c r="M21" s="15"/>
      <c r="N21" s="11">
        <v>873</v>
      </c>
    </row>
    <row r="22" spans="6:14" ht="11.25">
      <c r="F22" s="10" t="s">
        <v>18</v>
      </c>
      <c r="G22" s="10">
        <v>0</v>
      </c>
      <c r="H22" s="14">
        <f>SUMIF(E$2:I16,#REF!,H$2:H16)</f>
        <v>0</v>
      </c>
      <c r="I22" s="59">
        <f>SUMIF(E$2:I16,#REF!,I$2:I16)</f>
        <v>0</v>
      </c>
      <c r="J22" s="259">
        <v>198.823</v>
      </c>
      <c r="K22" s="59"/>
      <c r="L22" s="59"/>
      <c r="M22" s="62"/>
      <c r="N22" s="59"/>
    </row>
    <row r="23" spans="6:14" ht="11.25">
      <c r="F23" s="10" t="s">
        <v>10</v>
      </c>
      <c r="G23" s="10">
        <v>14</v>
      </c>
      <c r="H23" s="14">
        <f>SUMIF(G$2:I15,G3,H$2:H15)</f>
        <v>1044</v>
      </c>
      <c r="I23" s="59">
        <f>SUMIF(G$2:I15,G$2,I$2:I15)</f>
        <v>17.748</v>
      </c>
      <c r="J23" s="259">
        <v>198.823</v>
      </c>
      <c r="K23" s="59"/>
      <c r="L23" s="59">
        <v>171</v>
      </c>
      <c r="M23" s="62"/>
      <c r="N23" s="59">
        <v>873</v>
      </c>
    </row>
    <row r="24" spans="6:14" ht="11.25">
      <c r="F24" s="10" t="s">
        <v>19</v>
      </c>
      <c r="G24" s="10"/>
      <c r="H24" s="14">
        <f>SUMIF(G$2:I16,#REF!,H$2:H16)</f>
        <v>0</v>
      </c>
      <c r="I24" s="59">
        <f>SUMIF(G$2:I16,#REF!,I$2:I16)</f>
        <v>0</v>
      </c>
      <c r="J24" s="257"/>
      <c r="K24" s="11"/>
      <c r="L24" s="11"/>
      <c r="M24" s="16"/>
      <c r="N24" s="11"/>
    </row>
    <row r="25" spans="6:14" ht="11.25">
      <c r="F25" s="10" t="s">
        <v>20</v>
      </c>
      <c r="G25" s="10"/>
      <c r="H25" s="14">
        <f>SUMIF(G$2:I17,#REF!,H$2:H17)</f>
        <v>0</v>
      </c>
      <c r="I25" s="59">
        <f>SUMIF(G$2:I17,#REF!,I$2:I17)</f>
        <v>0</v>
      </c>
      <c r="J25" s="257"/>
      <c r="K25" s="11"/>
      <c r="L25" s="11"/>
      <c r="M25" s="16"/>
      <c r="N25" s="11"/>
    </row>
    <row r="26" spans="6:14" ht="11.25">
      <c r="F26" s="10" t="s">
        <v>21</v>
      </c>
      <c r="G26" s="10"/>
      <c r="H26" s="12"/>
      <c r="I26" s="12"/>
      <c r="J26" s="257"/>
      <c r="K26" s="11"/>
      <c r="L26" s="11"/>
      <c r="M26" s="16"/>
      <c r="N26" s="11"/>
    </row>
  </sheetData>
  <sheetProtection/>
  <autoFilter ref="A1:O15"/>
  <printOptions/>
  <pageMargins left="0.31" right="0.27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77"/>
  <sheetViews>
    <sheetView zoomScalePageLayoutView="0" workbookViewId="0" topLeftCell="A1">
      <selection activeCell="N22" sqref="N22"/>
    </sheetView>
  </sheetViews>
  <sheetFormatPr defaultColWidth="9.140625" defaultRowHeight="12.75" outlineLevelCol="1"/>
  <cols>
    <col min="1" max="1" width="4.7109375" style="114" customWidth="1"/>
    <col min="2" max="2" width="13.00390625" style="114" customWidth="1"/>
    <col min="3" max="3" width="14.140625" style="115" customWidth="1" outlineLevel="1"/>
    <col min="4" max="4" width="13.57421875" style="116" customWidth="1" outlineLevel="1"/>
    <col min="5" max="5" width="4.8515625" style="114" customWidth="1"/>
    <col min="6" max="6" width="19.421875" style="114" customWidth="1" outlineLevel="1"/>
    <col min="7" max="7" width="11.7109375" style="114" customWidth="1" outlineLevel="1"/>
    <col min="8" max="8" width="10.00390625" style="114" customWidth="1"/>
    <col min="9" max="11" width="9.140625" style="114" customWidth="1" outlineLevel="1"/>
    <col min="12" max="12" width="9.8515625" style="128" customWidth="1"/>
    <col min="13" max="13" width="9.8515625" style="114" customWidth="1"/>
    <col min="14" max="14" width="10.28125" style="114" customWidth="1"/>
    <col min="15" max="15" width="10.140625" style="114" customWidth="1"/>
    <col min="16" max="16384" width="9.140625" style="114" customWidth="1"/>
  </cols>
  <sheetData>
    <row r="1" spans="1:15" s="123" customFormat="1" ht="45">
      <c r="A1" s="97" t="s">
        <v>0</v>
      </c>
      <c r="B1" s="97" t="s">
        <v>1</v>
      </c>
      <c r="C1" s="97" t="s">
        <v>2</v>
      </c>
      <c r="D1" s="98" t="s">
        <v>3</v>
      </c>
      <c r="E1" s="97"/>
      <c r="F1" s="97" t="s">
        <v>4</v>
      </c>
      <c r="G1" s="97" t="s">
        <v>5</v>
      </c>
      <c r="H1" s="97" t="s">
        <v>6</v>
      </c>
      <c r="I1" s="97" t="s">
        <v>7</v>
      </c>
      <c r="J1" s="97" t="s">
        <v>8</v>
      </c>
      <c r="K1" s="216" t="s">
        <v>9</v>
      </c>
      <c r="L1" s="224"/>
      <c r="M1" s="220"/>
      <c r="N1" s="220"/>
      <c r="O1" s="220"/>
    </row>
    <row r="2" spans="1:15" s="106" customFormat="1" ht="11.25">
      <c r="A2" s="100">
        <v>1</v>
      </c>
      <c r="B2" s="100" t="s">
        <v>30</v>
      </c>
      <c r="C2" s="100" t="s">
        <v>30</v>
      </c>
      <c r="D2" s="101" t="s">
        <v>116</v>
      </c>
      <c r="E2" s="99">
        <v>2</v>
      </c>
      <c r="F2" s="99" t="str">
        <f aca="true" t="shared" si="0" ref="F2:F13">IF(E2=2,"budynek gospodarczy","budynek mieszkalny")</f>
        <v>budynek gospodarczy</v>
      </c>
      <c r="G2" s="99" t="s">
        <v>10</v>
      </c>
      <c r="H2" s="102">
        <f>7*2*40</f>
        <v>560</v>
      </c>
      <c r="I2" s="103">
        <f aca="true" t="shared" si="1" ref="I2:I13">0.017*H2</f>
        <v>9.520000000000001</v>
      </c>
      <c r="J2" s="104" t="s">
        <v>26</v>
      </c>
      <c r="K2" s="217" t="s">
        <v>74</v>
      </c>
      <c r="L2" s="229"/>
      <c r="M2" s="222"/>
      <c r="N2" s="222"/>
      <c r="O2" s="222"/>
    </row>
    <row r="3" spans="1:15" s="106" customFormat="1" ht="11.25">
      <c r="A3" s="100">
        <f aca="true" t="shared" si="2" ref="A3:A67">A2+1</f>
        <v>2</v>
      </c>
      <c r="B3" s="100" t="s">
        <v>30</v>
      </c>
      <c r="C3" s="100" t="s">
        <v>30</v>
      </c>
      <c r="D3" s="101" t="s">
        <v>115</v>
      </c>
      <c r="E3" s="99">
        <v>2</v>
      </c>
      <c r="F3" s="99" t="str">
        <f t="shared" si="0"/>
        <v>budynek gospodarczy</v>
      </c>
      <c r="G3" s="99" t="s">
        <v>10</v>
      </c>
      <c r="H3" s="102">
        <f>4*2*10</f>
        <v>80</v>
      </c>
      <c r="I3" s="103">
        <f t="shared" si="1"/>
        <v>1.36</v>
      </c>
      <c r="J3" s="104" t="s">
        <v>26</v>
      </c>
      <c r="K3" s="217" t="s">
        <v>74</v>
      </c>
      <c r="L3" s="229"/>
      <c r="M3" s="222"/>
      <c r="N3" s="222"/>
      <c r="O3" s="222"/>
    </row>
    <row r="4" spans="1:15" s="106" customFormat="1" ht="11.25">
      <c r="A4" s="100">
        <f t="shared" si="2"/>
        <v>3</v>
      </c>
      <c r="B4" s="100" t="s">
        <v>30</v>
      </c>
      <c r="C4" s="100" t="s">
        <v>30</v>
      </c>
      <c r="D4" s="101" t="s">
        <v>115</v>
      </c>
      <c r="E4" s="99">
        <v>2</v>
      </c>
      <c r="F4" s="99" t="str">
        <f t="shared" si="0"/>
        <v>budynek gospodarczy</v>
      </c>
      <c r="G4" s="99" t="s">
        <v>10</v>
      </c>
      <c r="H4" s="102">
        <f>6*2*5</f>
        <v>60</v>
      </c>
      <c r="I4" s="103">
        <f t="shared" si="1"/>
        <v>1.02</v>
      </c>
      <c r="J4" s="104" t="s">
        <v>26</v>
      </c>
      <c r="K4" s="217" t="s">
        <v>74</v>
      </c>
      <c r="L4" s="229"/>
      <c r="M4" s="222"/>
      <c r="N4" s="222"/>
      <c r="O4" s="222"/>
    </row>
    <row r="5" spans="1:15" s="106" customFormat="1" ht="11.25">
      <c r="A5" s="100">
        <f t="shared" si="2"/>
        <v>4</v>
      </c>
      <c r="B5" s="100" t="s">
        <v>30</v>
      </c>
      <c r="C5" s="100" t="s">
        <v>30</v>
      </c>
      <c r="D5" s="101" t="s">
        <v>115</v>
      </c>
      <c r="E5" s="99">
        <v>2</v>
      </c>
      <c r="F5" s="99" t="str">
        <f t="shared" si="0"/>
        <v>budynek gospodarczy</v>
      </c>
      <c r="G5" s="99" t="s">
        <v>10</v>
      </c>
      <c r="H5" s="102">
        <f>3*5</f>
        <v>15</v>
      </c>
      <c r="I5" s="103">
        <f t="shared" si="1"/>
        <v>0.255</v>
      </c>
      <c r="J5" s="104" t="s">
        <v>23</v>
      </c>
      <c r="K5" s="217" t="s">
        <v>72</v>
      </c>
      <c r="L5" s="229"/>
      <c r="M5" s="222"/>
      <c r="N5" s="222"/>
      <c r="O5" s="222"/>
    </row>
    <row r="6" spans="1:15" s="106" customFormat="1" ht="11.25">
      <c r="A6" s="100">
        <f t="shared" si="2"/>
        <v>5</v>
      </c>
      <c r="B6" s="100" t="s">
        <v>30</v>
      </c>
      <c r="C6" s="100" t="s">
        <v>30</v>
      </c>
      <c r="D6" s="101" t="s">
        <v>115</v>
      </c>
      <c r="E6" s="99">
        <v>2</v>
      </c>
      <c r="F6" s="99" t="str">
        <f t="shared" si="0"/>
        <v>budynek gospodarczy</v>
      </c>
      <c r="G6" s="99" t="s">
        <v>10</v>
      </c>
      <c r="H6" s="102">
        <f>4*3</f>
        <v>12</v>
      </c>
      <c r="I6" s="103">
        <f t="shared" si="1"/>
        <v>0.20400000000000001</v>
      </c>
      <c r="J6" s="104" t="s">
        <v>23</v>
      </c>
      <c r="K6" s="217" t="s">
        <v>72</v>
      </c>
      <c r="L6" s="229"/>
      <c r="M6" s="222"/>
      <c r="N6" s="222"/>
      <c r="O6" s="222"/>
    </row>
    <row r="7" spans="1:15" s="106" customFormat="1" ht="11.25">
      <c r="A7" s="100">
        <f t="shared" si="2"/>
        <v>6</v>
      </c>
      <c r="B7" s="100" t="s">
        <v>30</v>
      </c>
      <c r="C7" s="100" t="s">
        <v>30</v>
      </c>
      <c r="D7" s="101" t="s">
        <v>114</v>
      </c>
      <c r="E7" s="99">
        <v>2</v>
      </c>
      <c r="F7" s="99" t="str">
        <f t="shared" si="0"/>
        <v>budynek gospodarczy</v>
      </c>
      <c r="G7" s="99" t="s">
        <v>10</v>
      </c>
      <c r="H7" s="102">
        <f>4*2*10</f>
        <v>80</v>
      </c>
      <c r="I7" s="103">
        <f t="shared" si="1"/>
        <v>1.36</v>
      </c>
      <c r="J7" s="104" t="s">
        <v>26</v>
      </c>
      <c r="K7" s="217" t="s">
        <v>74</v>
      </c>
      <c r="L7" s="229"/>
      <c r="M7" s="222"/>
      <c r="N7" s="222"/>
      <c r="O7" s="222"/>
    </row>
    <row r="8" spans="1:15" s="106" customFormat="1" ht="11.25">
      <c r="A8" s="100">
        <f t="shared" si="2"/>
        <v>7</v>
      </c>
      <c r="B8" s="100" t="s">
        <v>30</v>
      </c>
      <c r="C8" s="100" t="s">
        <v>30</v>
      </c>
      <c r="D8" s="101" t="s">
        <v>114</v>
      </c>
      <c r="E8" s="99">
        <v>2</v>
      </c>
      <c r="F8" s="99" t="str">
        <f t="shared" si="0"/>
        <v>budynek gospodarczy</v>
      </c>
      <c r="G8" s="99" t="s">
        <v>10</v>
      </c>
      <c r="H8" s="102">
        <f>(3+2)*8</f>
        <v>40</v>
      </c>
      <c r="I8" s="103">
        <f t="shared" si="1"/>
        <v>0.68</v>
      </c>
      <c r="J8" s="104" t="s">
        <v>23</v>
      </c>
      <c r="K8" s="217" t="s">
        <v>72</v>
      </c>
      <c r="L8" s="229"/>
      <c r="M8" s="222"/>
      <c r="N8" s="222"/>
      <c r="O8" s="222"/>
    </row>
    <row r="9" spans="1:15" s="106" customFormat="1" ht="11.25">
      <c r="A9" s="100">
        <f t="shared" si="2"/>
        <v>8</v>
      </c>
      <c r="B9" s="100" t="s">
        <v>30</v>
      </c>
      <c r="C9" s="100" t="s">
        <v>30</v>
      </c>
      <c r="D9" s="101" t="s">
        <v>114</v>
      </c>
      <c r="E9" s="99">
        <v>2</v>
      </c>
      <c r="F9" s="99" t="str">
        <f t="shared" si="0"/>
        <v>budynek gospodarczy</v>
      </c>
      <c r="G9" s="99" t="s">
        <v>10</v>
      </c>
      <c r="H9" s="102">
        <f>4*4</f>
        <v>16</v>
      </c>
      <c r="I9" s="103">
        <f t="shared" si="1"/>
        <v>0.272</v>
      </c>
      <c r="J9" s="104" t="s">
        <v>23</v>
      </c>
      <c r="K9" s="217" t="s">
        <v>72</v>
      </c>
      <c r="L9" s="229"/>
      <c r="M9" s="222"/>
      <c r="N9" s="222"/>
      <c r="O9" s="222"/>
    </row>
    <row r="10" spans="1:15" s="106" customFormat="1" ht="11.25">
      <c r="A10" s="100">
        <v>9</v>
      </c>
      <c r="B10" s="191" t="s">
        <v>30</v>
      </c>
      <c r="C10" s="191" t="s">
        <v>30</v>
      </c>
      <c r="D10" s="192" t="s">
        <v>58</v>
      </c>
      <c r="E10" s="99">
        <v>3</v>
      </c>
      <c r="F10" s="194" t="s">
        <v>18</v>
      </c>
      <c r="G10" s="190" t="s">
        <v>10</v>
      </c>
      <c r="H10" s="102">
        <v>55</v>
      </c>
      <c r="I10" s="103">
        <f t="shared" si="1"/>
        <v>0.935</v>
      </c>
      <c r="J10" s="193" t="s">
        <v>23</v>
      </c>
      <c r="K10" s="218" t="s">
        <v>206</v>
      </c>
      <c r="L10" s="229"/>
      <c r="M10" s="222"/>
      <c r="N10" s="222"/>
      <c r="O10" s="222"/>
    </row>
    <row r="11" spans="1:15" s="106" customFormat="1" ht="11.25">
      <c r="A11" s="100">
        <v>10</v>
      </c>
      <c r="B11" s="100" t="s">
        <v>30</v>
      </c>
      <c r="C11" s="100" t="s">
        <v>30</v>
      </c>
      <c r="D11" s="101" t="s">
        <v>113</v>
      </c>
      <c r="E11" s="99">
        <v>2</v>
      </c>
      <c r="F11" s="99" t="str">
        <f t="shared" si="0"/>
        <v>budynek gospodarczy</v>
      </c>
      <c r="G11" s="99" t="s">
        <v>10</v>
      </c>
      <c r="H11" s="102">
        <f>3*6</f>
        <v>18</v>
      </c>
      <c r="I11" s="103">
        <f t="shared" si="1"/>
        <v>0.30600000000000005</v>
      </c>
      <c r="J11" s="104" t="s">
        <v>23</v>
      </c>
      <c r="K11" s="217" t="s">
        <v>72</v>
      </c>
      <c r="L11" s="230"/>
      <c r="M11" s="222"/>
      <c r="N11" s="222"/>
      <c r="O11" s="222"/>
    </row>
    <row r="12" spans="1:15" s="106" customFormat="1" ht="11.25">
      <c r="A12" s="100">
        <f t="shared" si="2"/>
        <v>11</v>
      </c>
      <c r="B12" s="100" t="s">
        <v>30</v>
      </c>
      <c r="C12" s="100" t="s">
        <v>30</v>
      </c>
      <c r="D12" s="101" t="s">
        <v>113</v>
      </c>
      <c r="E12" s="99">
        <v>2</v>
      </c>
      <c r="F12" s="99" t="str">
        <f t="shared" si="0"/>
        <v>budynek gospodarczy</v>
      </c>
      <c r="G12" s="99" t="s">
        <v>10</v>
      </c>
      <c r="H12" s="102">
        <f>4*8</f>
        <v>32</v>
      </c>
      <c r="I12" s="103">
        <f t="shared" si="1"/>
        <v>0.544</v>
      </c>
      <c r="J12" s="104" t="s">
        <v>23</v>
      </c>
      <c r="K12" s="217" t="s">
        <v>72</v>
      </c>
      <c r="L12" s="229"/>
      <c r="M12" s="222"/>
      <c r="N12" s="222"/>
      <c r="O12" s="222"/>
    </row>
    <row r="13" spans="1:15" s="106" customFormat="1" ht="11.25">
      <c r="A13" s="100">
        <f t="shared" si="2"/>
        <v>12</v>
      </c>
      <c r="B13" s="100" t="s">
        <v>30</v>
      </c>
      <c r="C13" s="100" t="s">
        <v>30</v>
      </c>
      <c r="D13" s="101" t="s">
        <v>112</v>
      </c>
      <c r="E13" s="99">
        <v>2</v>
      </c>
      <c r="F13" s="99" t="str">
        <f t="shared" si="0"/>
        <v>budynek gospodarczy</v>
      </c>
      <c r="G13" s="99" t="s">
        <v>10</v>
      </c>
      <c r="H13" s="102">
        <f>5*8</f>
        <v>40</v>
      </c>
      <c r="I13" s="103">
        <f t="shared" si="1"/>
        <v>0.68</v>
      </c>
      <c r="J13" s="104" t="s">
        <v>23</v>
      </c>
      <c r="K13" s="217" t="s">
        <v>72</v>
      </c>
      <c r="L13" s="230"/>
      <c r="M13" s="222"/>
      <c r="N13" s="222"/>
      <c r="O13" s="222"/>
    </row>
    <row r="14" spans="1:15" s="106" customFormat="1" ht="11.25">
      <c r="A14" s="100">
        <f t="shared" si="2"/>
        <v>13</v>
      </c>
      <c r="B14" s="100" t="s">
        <v>30</v>
      </c>
      <c r="C14" s="100" t="s">
        <v>30</v>
      </c>
      <c r="D14" s="101" t="s">
        <v>34</v>
      </c>
      <c r="E14" s="99">
        <v>2</v>
      </c>
      <c r="F14" s="99" t="str">
        <f>IF(E14=2,"budynek gospodarczy","budynek mieszkalny")</f>
        <v>budynek gospodarczy</v>
      </c>
      <c r="G14" s="99" t="s">
        <v>10</v>
      </c>
      <c r="H14" s="102">
        <f>3*2*8</f>
        <v>48</v>
      </c>
      <c r="I14" s="103">
        <f>0.017*H14</f>
        <v>0.8160000000000001</v>
      </c>
      <c r="J14" s="104" t="s">
        <v>23</v>
      </c>
      <c r="K14" s="217" t="s">
        <v>72</v>
      </c>
      <c r="L14" s="230"/>
      <c r="M14" s="222"/>
      <c r="N14" s="222"/>
      <c r="O14" s="222"/>
    </row>
    <row r="15" spans="1:15" s="106" customFormat="1" ht="11.25">
      <c r="A15" s="100">
        <v>14</v>
      </c>
      <c r="B15" s="100" t="s">
        <v>30</v>
      </c>
      <c r="C15" s="100" t="s">
        <v>30</v>
      </c>
      <c r="D15" s="101" t="s">
        <v>111</v>
      </c>
      <c r="E15" s="99">
        <v>2</v>
      </c>
      <c r="F15" s="99" t="str">
        <f>IF(E15=2,"budynek gospodarczy","budynek mieszkalny")</f>
        <v>budynek gospodarczy</v>
      </c>
      <c r="G15" s="99" t="s">
        <v>10</v>
      </c>
      <c r="H15" s="102">
        <f>3.5*2*10</f>
        <v>70</v>
      </c>
      <c r="I15" s="103">
        <f aca="true" t="shared" si="3" ref="I15:I67">0.017*H15</f>
        <v>1.1900000000000002</v>
      </c>
      <c r="J15" s="104" t="s">
        <v>26</v>
      </c>
      <c r="K15" s="217" t="s">
        <v>74</v>
      </c>
      <c r="L15" s="230"/>
      <c r="M15" s="222"/>
      <c r="N15" s="222"/>
      <c r="O15" s="222"/>
    </row>
    <row r="16" spans="1:15" s="106" customFormat="1" ht="11.25">
      <c r="A16" s="100">
        <f t="shared" si="2"/>
        <v>15</v>
      </c>
      <c r="B16" s="100" t="s">
        <v>30</v>
      </c>
      <c r="C16" s="100" t="s">
        <v>30</v>
      </c>
      <c r="D16" s="101" t="s">
        <v>111</v>
      </c>
      <c r="E16" s="99">
        <v>2</v>
      </c>
      <c r="F16" s="99" t="str">
        <f>IF(E16=2,"budynek gospodarczy","budynek mieszkalny")</f>
        <v>budynek gospodarczy</v>
      </c>
      <c r="G16" s="99" t="s">
        <v>10</v>
      </c>
      <c r="H16" s="102">
        <f>3*4</f>
        <v>12</v>
      </c>
      <c r="I16" s="103">
        <f t="shared" si="3"/>
        <v>0.20400000000000001</v>
      </c>
      <c r="J16" s="104" t="s">
        <v>23</v>
      </c>
      <c r="K16" s="217" t="s">
        <v>72</v>
      </c>
      <c r="L16" s="230"/>
      <c r="M16" s="222"/>
      <c r="N16" s="222"/>
      <c r="O16" s="222"/>
    </row>
    <row r="17" spans="1:15" s="106" customFormat="1" ht="11.25">
      <c r="A17" s="100">
        <v>16</v>
      </c>
      <c r="B17" s="191" t="s">
        <v>30</v>
      </c>
      <c r="C17" s="191" t="s">
        <v>30</v>
      </c>
      <c r="D17" s="192" t="s">
        <v>219</v>
      </c>
      <c r="E17" s="99">
        <v>3</v>
      </c>
      <c r="F17" s="194" t="s">
        <v>18</v>
      </c>
      <c r="G17" s="190" t="s">
        <v>10</v>
      </c>
      <c r="H17" s="102">
        <v>21</v>
      </c>
      <c r="I17" s="103">
        <f t="shared" si="3"/>
        <v>0.35700000000000004</v>
      </c>
      <c r="J17" s="193" t="s">
        <v>23</v>
      </c>
      <c r="K17" s="218" t="s">
        <v>206</v>
      </c>
      <c r="L17" s="230"/>
      <c r="M17" s="222"/>
      <c r="N17" s="222"/>
      <c r="O17" s="222"/>
    </row>
    <row r="18" spans="1:15" s="106" customFormat="1" ht="11.25">
      <c r="A18" s="100">
        <v>17</v>
      </c>
      <c r="B18" s="100" t="s">
        <v>30</v>
      </c>
      <c r="C18" s="100" t="s">
        <v>30</v>
      </c>
      <c r="D18" s="101" t="s">
        <v>110</v>
      </c>
      <c r="E18" s="99">
        <v>2</v>
      </c>
      <c r="F18" s="99" t="str">
        <f aca="true" t="shared" si="4" ref="F18:F35">IF(E18=2,"budynek gospodarczy","budynek mieszkalny")</f>
        <v>budynek gospodarczy</v>
      </c>
      <c r="G18" s="99" t="s">
        <v>10</v>
      </c>
      <c r="H18" s="102">
        <f>6*8</f>
        <v>48</v>
      </c>
      <c r="I18" s="103">
        <f t="shared" si="3"/>
        <v>0.8160000000000001</v>
      </c>
      <c r="J18" s="104" t="s">
        <v>23</v>
      </c>
      <c r="K18" s="217" t="s">
        <v>72</v>
      </c>
      <c r="L18" s="230"/>
      <c r="M18" s="222"/>
      <c r="N18" s="222"/>
      <c r="O18" s="222"/>
    </row>
    <row r="19" spans="1:15" s="106" customFormat="1" ht="11.25">
      <c r="A19" s="100">
        <v>18</v>
      </c>
      <c r="B19" s="100" t="s">
        <v>30</v>
      </c>
      <c r="C19" s="100" t="s">
        <v>30</v>
      </c>
      <c r="D19" s="192" t="s">
        <v>235</v>
      </c>
      <c r="E19" s="99">
        <v>3</v>
      </c>
      <c r="F19" s="194" t="s">
        <v>18</v>
      </c>
      <c r="G19" s="99" t="s">
        <v>10</v>
      </c>
      <c r="H19" s="102">
        <v>170</v>
      </c>
      <c r="I19" s="103">
        <f t="shared" si="3"/>
        <v>2.89</v>
      </c>
      <c r="J19" s="193" t="s">
        <v>23</v>
      </c>
      <c r="K19" s="218" t="s">
        <v>206</v>
      </c>
      <c r="L19" s="230"/>
      <c r="M19" s="222"/>
      <c r="N19" s="222"/>
      <c r="O19" s="222"/>
    </row>
    <row r="20" spans="1:15" s="106" customFormat="1" ht="11.25">
      <c r="A20" s="100">
        <f t="shared" si="2"/>
        <v>19</v>
      </c>
      <c r="B20" s="100" t="s">
        <v>30</v>
      </c>
      <c r="C20" s="100" t="s">
        <v>30</v>
      </c>
      <c r="D20" s="192" t="s">
        <v>235</v>
      </c>
      <c r="E20" s="99">
        <v>3</v>
      </c>
      <c r="F20" s="194" t="s">
        <v>18</v>
      </c>
      <c r="G20" s="99" t="s">
        <v>10</v>
      </c>
      <c r="H20" s="102">
        <v>33</v>
      </c>
      <c r="I20" s="103">
        <f t="shared" si="3"/>
        <v>0.561</v>
      </c>
      <c r="J20" s="104" t="s">
        <v>23</v>
      </c>
      <c r="K20" s="218" t="s">
        <v>206</v>
      </c>
      <c r="L20" s="230"/>
      <c r="M20" s="222"/>
      <c r="N20" s="222"/>
      <c r="O20" s="222"/>
    </row>
    <row r="21" spans="1:15" s="106" customFormat="1" ht="11.25">
      <c r="A21" s="100">
        <f t="shared" si="2"/>
        <v>20</v>
      </c>
      <c r="B21" s="100" t="s">
        <v>30</v>
      </c>
      <c r="C21" s="100" t="s">
        <v>30</v>
      </c>
      <c r="D21" s="192" t="s">
        <v>235</v>
      </c>
      <c r="E21" s="99">
        <v>3</v>
      </c>
      <c r="F21" s="194" t="s">
        <v>18</v>
      </c>
      <c r="G21" s="99" t="s">
        <v>10</v>
      </c>
      <c r="H21" s="102">
        <v>44</v>
      </c>
      <c r="I21" s="103">
        <f t="shared" si="3"/>
        <v>0.748</v>
      </c>
      <c r="J21" s="193" t="s">
        <v>23</v>
      </c>
      <c r="K21" s="218" t="s">
        <v>206</v>
      </c>
      <c r="L21" s="230"/>
      <c r="M21" s="222"/>
      <c r="N21" s="222"/>
      <c r="O21" s="222"/>
    </row>
    <row r="22" spans="1:15" s="106" customFormat="1" ht="11.25">
      <c r="A22" s="100">
        <f t="shared" si="2"/>
        <v>21</v>
      </c>
      <c r="B22" s="100" t="s">
        <v>30</v>
      </c>
      <c r="C22" s="100" t="s">
        <v>30</v>
      </c>
      <c r="D22" s="192" t="s">
        <v>235</v>
      </c>
      <c r="E22" s="99">
        <v>3</v>
      </c>
      <c r="F22" s="194" t="s">
        <v>18</v>
      </c>
      <c r="G22" s="99" t="s">
        <v>10</v>
      </c>
      <c r="H22" s="102">
        <v>13</v>
      </c>
      <c r="I22" s="103">
        <f t="shared" si="3"/>
        <v>0.22100000000000003</v>
      </c>
      <c r="J22" s="104" t="s">
        <v>23</v>
      </c>
      <c r="K22" s="218" t="s">
        <v>206</v>
      </c>
      <c r="L22" s="230"/>
      <c r="M22" s="222"/>
      <c r="N22" s="222"/>
      <c r="O22" s="222"/>
    </row>
    <row r="23" spans="1:15" s="106" customFormat="1" ht="11.25">
      <c r="A23" s="100">
        <f t="shared" si="2"/>
        <v>22</v>
      </c>
      <c r="B23" s="100" t="s">
        <v>30</v>
      </c>
      <c r="C23" s="100" t="s">
        <v>30</v>
      </c>
      <c r="D23" s="192" t="s">
        <v>235</v>
      </c>
      <c r="E23" s="99">
        <v>3</v>
      </c>
      <c r="F23" s="194" t="s">
        <v>18</v>
      </c>
      <c r="G23" s="99" t="s">
        <v>10</v>
      </c>
      <c r="H23" s="102">
        <v>185</v>
      </c>
      <c r="I23" s="103">
        <f t="shared" si="3"/>
        <v>3.145</v>
      </c>
      <c r="J23" s="193" t="s">
        <v>23</v>
      </c>
      <c r="K23" s="218" t="s">
        <v>206</v>
      </c>
      <c r="L23" s="230"/>
      <c r="M23" s="222"/>
      <c r="N23" s="222"/>
      <c r="O23" s="222"/>
    </row>
    <row r="24" spans="1:15" s="106" customFormat="1" ht="11.25">
      <c r="A24" s="100">
        <f t="shared" si="2"/>
        <v>23</v>
      </c>
      <c r="B24" s="100" t="s">
        <v>30</v>
      </c>
      <c r="C24" s="100" t="s">
        <v>30</v>
      </c>
      <c r="D24" s="192" t="s">
        <v>235</v>
      </c>
      <c r="E24" s="99">
        <v>2</v>
      </c>
      <c r="F24" s="99" t="str">
        <f t="shared" si="4"/>
        <v>budynek gospodarczy</v>
      </c>
      <c r="G24" s="99" t="s">
        <v>10</v>
      </c>
      <c r="H24" s="102">
        <f>(2.5+4)*8</f>
        <v>52</v>
      </c>
      <c r="I24" s="103">
        <f t="shared" si="3"/>
        <v>0.8840000000000001</v>
      </c>
      <c r="J24" s="104" t="s">
        <v>26</v>
      </c>
      <c r="K24" s="217" t="s">
        <v>74</v>
      </c>
      <c r="L24" s="230"/>
      <c r="M24" s="222"/>
      <c r="N24" s="222"/>
      <c r="O24" s="222"/>
    </row>
    <row r="25" spans="1:15" s="106" customFormat="1" ht="11.25">
      <c r="A25" s="100">
        <f t="shared" si="2"/>
        <v>24</v>
      </c>
      <c r="B25" s="100" t="s">
        <v>30</v>
      </c>
      <c r="C25" s="100" t="s">
        <v>30</v>
      </c>
      <c r="D25" s="101" t="s">
        <v>107</v>
      </c>
      <c r="E25" s="99">
        <v>0</v>
      </c>
      <c r="F25" s="99" t="str">
        <f t="shared" si="4"/>
        <v>budynek mieszkalny</v>
      </c>
      <c r="G25" s="99" t="s">
        <v>10</v>
      </c>
      <c r="H25" s="102">
        <f>7*2*8</f>
        <v>112</v>
      </c>
      <c r="I25" s="103">
        <f t="shared" si="3"/>
        <v>1.9040000000000001</v>
      </c>
      <c r="J25" s="104" t="s">
        <v>24</v>
      </c>
      <c r="K25" s="217" t="s">
        <v>73</v>
      </c>
      <c r="L25" s="230"/>
      <c r="M25" s="222"/>
      <c r="N25" s="222"/>
      <c r="O25" s="222"/>
    </row>
    <row r="26" spans="1:15" s="106" customFormat="1" ht="11.25">
      <c r="A26" s="100">
        <v>25</v>
      </c>
      <c r="B26" s="100" t="s">
        <v>30</v>
      </c>
      <c r="C26" s="100" t="s">
        <v>30</v>
      </c>
      <c r="D26" s="101" t="s">
        <v>108</v>
      </c>
      <c r="E26" s="99">
        <v>2</v>
      </c>
      <c r="F26" s="99" t="str">
        <f t="shared" si="4"/>
        <v>budynek gospodarczy</v>
      </c>
      <c r="G26" s="99" t="s">
        <v>10</v>
      </c>
      <c r="H26" s="102">
        <f>5.5*2*16</f>
        <v>176</v>
      </c>
      <c r="I26" s="103">
        <f t="shared" si="3"/>
        <v>2.992</v>
      </c>
      <c r="J26" s="104" t="s">
        <v>26</v>
      </c>
      <c r="K26" s="217" t="s">
        <v>74</v>
      </c>
      <c r="L26" s="230"/>
      <c r="M26" s="222"/>
      <c r="N26" s="222"/>
      <c r="O26" s="222"/>
    </row>
    <row r="27" spans="1:15" s="106" customFormat="1" ht="11.25">
      <c r="A27" s="100">
        <f t="shared" si="2"/>
        <v>26</v>
      </c>
      <c r="B27" s="100" t="s">
        <v>30</v>
      </c>
      <c r="C27" s="100" t="s">
        <v>30</v>
      </c>
      <c r="D27" s="101" t="s">
        <v>108</v>
      </c>
      <c r="E27" s="99">
        <v>2</v>
      </c>
      <c r="F27" s="99" t="str">
        <f t="shared" si="4"/>
        <v>budynek gospodarczy</v>
      </c>
      <c r="G27" s="99" t="s">
        <v>10</v>
      </c>
      <c r="H27" s="102">
        <f>3*14</f>
        <v>42</v>
      </c>
      <c r="I27" s="103">
        <f t="shared" si="3"/>
        <v>0.7140000000000001</v>
      </c>
      <c r="J27" s="104" t="s">
        <v>23</v>
      </c>
      <c r="K27" s="217" t="s">
        <v>72</v>
      </c>
      <c r="L27" s="230"/>
      <c r="M27" s="222"/>
      <c r="N27" s="222"/>
      <c r="O27" s="222"/>
    </row>
    <row r="28" spans="1:15" s="106" customFormat="1" ht="11.25">
      <c r="A28" s="100">
        <f t="shared" si="2"/>
        <v>27</v>
      </c>
      <c r="B28" s="100" t="s">
        <v>30</v>
      </c>
      <c r="C28" s="100" t="s">
        <v>30</v>
      </c>
      <c r="D28" s="101" t="s">
        <v>109</v>
      </c>
      <c r="E28" s="99">
        <v>0</v>
      </c>
      <c r="F28" s="99" t="str">
        <f t="shared" si="4"/>
        <v>budynek mieszkalny</v>
      </c>
      <c r="G28" s="99" t="s">
        <v>10</v>
      </c>
      <c r="H28" s="102">
        <f>3*2*8</f>
        <v>48</v>
      </c>
      <c r="I28" s="103">
        <f t="shared" si="3"/>
        <v>0.8160000000000001</v>
      </c>
      <c r="J28" s="104" t="s">
        <v>23</v>
      </c>
      <c r="K28" s="218" t="s">
        <v>72</v>
      </c>
      <c r="L28" s="230"/>
      <c r="M28" s="222"/>
      <c r="N28" s="222"/>
      <c r="O28" s="222"/>
    </row>
    <row r="29" spans="1:15" s="106" customFormat="1" ht="11.25" customHeight="1">
      <c r="A29" s="100">
        <f t="shared" si="2"/>
        <v>28</v>
      </c>
      <c r="B29" s="100" t="s">
        <v>30</v>
      </c>
      <c r="C29" s="100" t="s">
        <v>30</v>
      </c>
      <c r="D29" s="101" t="s">
        <v>106</v>
      </c>
      <c r="E29" s="99">
        <v>2</v>
      </c>
      <c r="F29" s="99" t="str">
        <f t="shared" si="4"/>
        <v>budynek gospodarczy</v>
      </c>
      <c r="G29" s="99" t="s">
        <v>10</v>
      </c>
      <c r="H29" s="102">
        <f>7*2*8</f>
        <v>112</v>
      </c>
      <c r="I29" s="103">
        <f t="shared" si="3"/>
        <v>1.9040000000000001</v>
      </c>
      <c r="J29" s="104" t="s">
        <v>26</v>
      </c>
      <c r="K29" s="217" t="s">
        <v>74</v>
      </c>
      <c r="L29" s="230"/>
      <c r="M29" s="222"/>
      <c r="N29" s="222"/>
      <c r="O29" s="222"/>
    </row>
    <row r="30" spans="1:15" s="106" customFormat="1" ht="14.25" customHeight="1">
      <c r="A30" s="100">
        <f t="shared" si="2"/>
        <v>29</v>
      </c>
      <c r="B30" s="100" t="s">
        <v>30</v>
      </c>
      <c r="C30" s="100" t="s">
        <v>30</v>
      </c>
      <c r="D30" s="101" t="s">
        <v>106</v>
      </c>
      <c r="E30" s="99">
        <v>0</v>
      </c>
      <c r="F30" s="99" t="str">
        <f t="shared" si="4"/>
        <v>budynek mieszkalny</v>
      </c>
      <c r="G30" s="99" t="s">
        <v>10</v>
      </c>
      <c r="H30" s="102">
        <f>6.5*2*8</f>
        <v>104</v>
      </c>
      <c r="I30" s="103">
        <f t="shared" si="3"/>
        <v>1.7680000000000002</v>
      </c>
      <c r="J30" s="104" t="s">
        <v>24</v>
      </c>
      <c r="K30" s="217" t="s">
        <v>73</v>
      </c>
      <c r="L30" s="230"/>
      <c r="M30" s="222"/>
      <c r="N30" s="222"/>
      <c r="O30" s="222"/>
    </row>
    <row r="31" spans="1:15" s="106" customFormat="1" ht="13.5" customHeight="1">
      <c r="A31" s="100">
        <f t="shared" si="2"/>
        <v>30</v>
      </c>
      <c r="B31" s="100" t="s">
        <v>30</v>
      </c>
      <c r="C31" s="100" t="s">
        <v>30</v>
      </c>
      <c r="D31" s="101" t="s">
        <v>104</v>
      </c>
      <c r="E31" s="99">
        <v>2</v>
      </c>
      <c r="F31" s="99" t="str">
        <f t="shared" si="4"/>
        <v>budynek gospodarczy</v>
      </c>
      <c r="G31" s="99" t="s">
        <v>10</v>
      </c>
      <c r="H31" s="102">
        <f>6*2*22</f>
        <v>264</v>
      </c>
      <c r="I31" s="103">
        <f t="shared" si="3"/>
        <v>4.488</v>
      </c>
      <c r="J31" s="104" t="s">
        <v>26</v>
      </c>
      <c r="K31" s="217" t="s">
        <v>74</v>
      </c>
      <c r="L31" s="230"/>
      <c r="M31" s="222"/>
      <c r="N31" s="222"/>
      <c r="O31" s="222"/>
    </row>
    <row r="32" spans="1:15" s="106" customFormat="1" ht="13.5" customHeight="1">
      <c r="A32" s="100">
        <f t="shared" si="2"/>
        <v>31</v>
      </c>
      <c r="B32" s="100" t="s">
        <v>30</v>
      </c>
      <c r="C32" s="100" t="s">
        <v>30</v>
      </c>
      <c r="D32" s="101" t="s">
        <v>104</v>
      </c>
      <c r="E32" s="99">
        <v>2</v>
      </c>
      <c r="F32" s="99" t="str">
        <f t="shared" si="4"/>
        <v>budynek gospodarczy</v>
      </c>
      <c r="G32" s="99" t="s">
        <v>10</v>
      </c>
      <c r="H32" s="102">
        <f>3.5*2*7</f>
        <v>49</v>
      </c>
      <c r="I32" s="103">
        <f t="shared" si="3"/>
        <v>0.8330000000000001</v>
      </c>
      <c r="J32" s="104" t="s">
        <v>23</v>
      </c>
      <c r="K32" s="217" t="s">
        <v>72</v>
      </c>
      <c r="L32" s="230"/>
      <c r="M32" s="222"/>
      <c r="N32" s="222"/>
      <c r="O32" s="222"/>
    </row>
    <row r="33" spans="1:15" s="106" customFormat="1" ht="11.25">
      <c r="A33" s="100">
        <f t="shared" si="2"/>
        <v>32</v>
      </c>
      <c r="B33" s="100" t="s">
        <v>30</v>
      </c>
      <c r="C33" s="100" t="s">
        <v>30</v>
      </c>
      <c r="D33" s="101" t="s">
        <v>105</v>
      </c>
      <c r="E33" s="99">
        <v>2</v>
      </c>
      <c r="F33" s="99" t="str">
        <f t="shared" si="4"/>
        <v>budynek gospodarczy</v>
      </c>
      <c r="G33" s="99" t="s">
        <v>10</v>
      </c>
      <c r="H33" s="102">
        <f>3*5</f>
        <v>15</v>
      </c>
      <c r="I33" s="103">
        <f t="shared" si="3"/>
        <v>0.255</v>
      </c>
      <c r="J33" s="104" t="s">
        <v>23</v>
      </c>
      <c r="K33" s="217" t="s">
        <v>72</v>
      </c>
      <c r="L33" s="230"/>
      <c r="M33" s="222"/>
      <c r="N33" s="222"/>
      <c r="O33" s="222"/>
    </row>
    <row r="34" spans="1:15" s="106" customFormat="1" ht="11.25">
      <c r="A34" s="100">
        <f t="shared" si="2"/>
        <v>33</v>
      </c>
      <c r="B34" s="100" t="s">
        <v>30</v>
      </c>
      <c r="C34" s="100" t="s">
        <v>30</v>
      </c>
      <c r="D34" s="101" t="s">
        <v>103</v>
      </c>
      <c r="E34" s="99">
        <v>2</v>
      </c>
      <c r="F34" s="99" t="str">
        <f t="shared" si="4"/>
        <v>budynek gospodarczy</v>
      </c>
      <c r="G34" s="99" t="s">
        <v>10</v>
      </c>
      <c r="H34" s="102">
        <f>5*4</f>
        <v>20</v>
      </c>
      <c r="I34" s="103">
        <f t="shared" si="3"/>
        <v>0.34</v>
      </c>
      <c r="J34" s="104" t="s">
        <v>23</v>
      </c>
      <c r="K34" s="217" t="s">
        <v>72</v>
      </c>
      <c r="L34" s="230"/>
      <c r="M34" s="222"/>
      <c r="N34" s="222"/>
      <c r="O34" s="222"/>
    </row>
    <row r="35" spans="1:15" s="106" customFormat="1" ht="11.25">
      <c r="A35" s="100">
        <f t="shared" si="2"/>
        <v>34</v>
      </c>
      <c r="B35" s="100" t="s">
        <v>30</v>
      </c>
      <c r="C35" s="100" t="s">
        <v>30</v>
      </c>
      <c r="D35" s="101" t="s">
        <v>103</v>
      </c>
      <c r="E35" s="99">
        <v>2</v>
      </c>
      <c r="F35" s="99" t="str">
        <f t="shared" si="4"/>
        <v>budynek gospodarczy</v>
      </c>
      <c r="G35" s="99" t="s">
        <v>10</v>
      </c>
      <c r="H35" s="102">
        <f>4*30</f>
        <v>120</v>
      </c>
      <c r="I35" s="103">
        <f t="shared" si="3"/>
        <v>2.04</v>
      </c>
      <c r="J35" s="104" t="s">
        <v>26</v>
      </c>
      <c r="K35" s="217" t="s">
        <v>74</v>
      </c>
      <c r="L35" s="230"/>
      <c r="M35" s="222"/>
      <c r="N35" s="222"/>
      <c r="O35" s="222"/>
    </row>
    <row r="36" spans="1:15" s="106" customFormat="1" ht="11.25">
      <c r="A36" s="100">
        <v>35</v>
      </c>
      <c r="B36" s="100" t="s">
        <v>30</v>
      </c>
      <c r="C36" s="100" t="s">
        <v>30</v>
      </c>
      <c r="D36" s="101" t="s">
        <v>117</v>
      </c>
      <c r="E36" s="99">
        <v>2</v>
      </c>
      <c r="F36" s="99" t="str">
        <f aca="true" t="shared" si="5" ref="F36:F47">IF(E36=2,"budynek gospodarczy","budynek mieszkalny")</f>
        <v>budynek gospodarczy</v>
      </c>
      <c r="G36" s="99" t="s">
        <v>10</v>
      </c>
      <c r="H36" s="102">
        <f>3.5*2*16</f>
        <v>112</v>
      </c>
      <c r="I36" s="103">
        <f t="shared" si="3"/>
        <v>1.9040000000000001</v>
      </c>
      <c r="J36" s="104" t="s">
        <v>26</v>
      </c>
      <c r="K36" s="217" t="s">
        <v>74</v>
      </c>
      <c r="L36" s="229"/>
      <c r="M36" s="226"/>
      <c r="N36" s="222"/>
      <c r="O36" s="222"/>
    </row>
    <row r="37" spans="1:15" s="106" customFormat="1" ht="11.25">
      <c r="A37" s="100">
        <f t="shared" si="2"/>
        <v>36</v>
      </c>
      <c r="B37" s="100" t="s">
        <v>30</v>
      </c>
      <c r="C37" s="100" t="s">
        <v>30</v>
      </c>
      <c r="D37" s="101" t="s">
        <v>117</v>
      </c>
      <c r="E37" s="99">
        <v>2</v>
      </c>
      <c r="F37" s="99" t="str">
        <f t="shared" si="5"/>
        <v>budynek gospodarczy</v>
      </c>
      <c r="G37" s="99" t="s">
        <v>10</v>
      </c>
      <c r="H37" s="102">
        <f>4*8</f>
        <v>32</v>
      </c>
      <c r="I37" s="103">
        <f t="shared" si="3"/>
        <v>0.544</v>
      </c>
      <c r="J37" s="104" t="s">
        <v>23</v>
      </c>
      <c r="K37" s="217" t="s">
        <v>72</v>
      </c>
      <c r="L37" s="229"/>
      <c r="M37" s="222"/>
      <c r="N37" s="222"/>
      <c r="O37" s="222"/>
    </row>
    <row r="38" spans="1:15" s="106" customFormat="1" ht="11.25">
      <c r="A38" s="100">
        <v>37</v>
      </c>
      <c r="B38" s="191" t="s">
        <v>30</v>
      </c>
      <c r="C38" s="191" t="s">
        <v>30</v>
      </c>
      <c r="D38" s="192" t="s">
        <v>218</v>
      </c>
      <c r="E38" s="99">
        <v>2</v>
      </c>
      <c r="F38" s="190" t="s">
        <v>200</v>
      </c>
      <c r="G38" s="190" t="s">
        <v>10</v>
      </c>
      <c r="H38" s="102">
        <v>36</v>
      </c>
      <c r="I38" s="103">
        <f t="shared" si="3"/>
        <v>0.6120000000000001</v>
      </c>
      <c r="J38" s="193" t="s">
        <v>24</v>
      </c>
      <c r="K38" s="218" t="s">
        <v>206</v>
      </c>
      <c r="L38" s="229"/>
      <c r="M38" s="222"/>
      <c r="N38" s="222"/>
      <c r="O38" s="222"/>
    </row>
    <row r="39" spans="1:15" s="106" customFormat="1" ht="11.25">
      <c r="A39" s="100">
        <v>38</v>
      </c>
      <c r="B39" s="191" t="s">
        <v>30</v>
      </c>
      <c r="C39" s="191" t="s">
        <v>30</v>
      </c>
      <c r="D39" s="192" t="s">
        <v>217</v>
      </c>
      <c r="E39" s="99">
        <v>2</v>
      </c>
      <c r="F39" s="190" t="s">
        <v>200</v>
      </c>
      <c r="G39" s="190" t="s">
        <v>10</v>
      </c>
      <c r="H39" s="102">
        <v>25</v>
      </c>
      <c r="I39" s="103">
        <f t="shared" si="3"/>
        <v>0.42500000000000004</v>
      </c>
      <c r="J39" s="193" t="s">
        <v>24</v>
      </c>
      <c r="K39" s="218" t="s">
        <v>206</v>
      </c>
      <c r="L39" s="229"/>
      <c r="M39" s="222"/>
      <c r="N39" s="222"/>
      <c r="O39" s="222"/>
    </row>
    <row r="40" spans="1:15" s="106" customFormat="1" ht="11.25">
      <c r="A40" s="100">
        <v>39</v>
      </c>
      <c r="B40" s="191" t="s">
        <v>30</v>
      </c>
      <c r="C40" s="191" t="s">
        <v>30</v>
      </c>
      <c r="D40" s="192" t="s">
        <v>217</v>
      </c>
      <c r="E40" s="99">
        <v>2</v>
      </c>
      <c r="F40" s="190" t="s">
        <v>200</v>
      </c>
      <c r="G40" s="190" t="s">
        <v>10</v>
      </c>
      <c r="H40" s="102">
        <v>25</v>
      </c>
      <c r="I40" s="103">
        <f t="shared" si="3"/>
        <v>0.42500000000000004</v>
      </c>
      <c r="J40" s="193" t="s">
        <v>24</v>
      </c>
      <c r="K40" s="218" t="s">
        <v>206</v>
      </c>
      <c r="L40" s="229"/>
      <c r="M40" s="222"/>
      <c r="N40" s="222"/>
      <c r="O40" s="222"/>
    </row>
    <row r="41" spans="1:15" s="106" customFormat="1" ht="11.25">
      <c r="A41" s="100">
        <v>40</v>
      </c>
      <c r="B41" s="191" t="s">
        <v>30</v>
      </c>
      <c r="C41" s="191" t="s">
        <v>30</v>
      </c>
      <c r="D41" s="192" t="s">
        <v>217</v>
      </c>
      <c r="E41" s="99">
        <v>3</v>
      </c>
      <c r="F41" s="194" t="s">
        <v>18</v>
      </c>
      <c r="G41" s="190" t="s">
        <v>10</v>
      </c>
      <c r="H41" s="102">
        <v>30</v>
      </c>
      <c r="I41" s="103">
        <f t="shared" si="3"/>
        <v>0.51</v>
      </c>
      <c r="J41" s="193" t="s">
        <v>23</v>
      </c>
      <c r="K41" s="218" t="s">
        <v>206</v>
      </c>
      <c r="L41" s="229"/>
      <c r="M41" s="222"/>
      <c r="N41" s="222"/>
      <c r="O41" s="222"/>
    </row>
    <row r="42" spans="1:15" s="106" customFormat="1" ht="11.25">
      <c r="A42" s="100">
        <v>41</v>
      </c>
      <c r="B42" s="191" t="s">
        <v>30</v>
      </c>
      <c r="C42" s="191" t="s">
        <v>30</v>
      </c>
      <c r="D42" s="192" t="s">
        <v>217</v>
      </c>
      <c r="E42" s="99">
        <v>2</v>
      </c>
      <c r="F42" s="190" t="s">
        <v>200</v>
      </c>
      <c r="G42" s="190" t="s">
        <v>10</v>
      </c>
      <c r="H42" s="102">
        <v>25</v>
      </c>
      <c r="I42" s="103">
        <f t="shared" si="3"/>
        <v>0.42500000000000004</v>
      </c>
      <c r="J42" s="193" t="s">
        <v>23</v>
      </c>
      <c r="K42" s="218" t="s">
        <v>206</v>
      </c>
      <c r="L42" s="229"/>
      <c r="M42" s="222"/>
      <c r="N42" s="222"/>
      <c r="O42" s="222"/>
    </row>
    <row r="43" spans="1:15" s="106" customFormat="1" ht="11.25">
      <c r="A43" s="100">
        <v>42</v>
      </c>
      <c r="B43" s="191" t="s">
        <v>30</v>
      </c>
      <c r="C43" s="191" t="s">
        <v>30</v>
      </c>
      <c r="D43" s="192" t="s">
        <v>217</v>
      </c>
      <c r="E43" s="99">
        <v>2</v>
      </c>
      <c r="F43" s="190" t="s">
        <v>200</v>
      </c>
      <c r="G43" s="190" t="s">
        <v>10</v>
      </c>
      <c r="H43" s="102">
        <v>25</v>
      </c>
      <c r="I43" s="103">
        <f t="shared" si="3"/>
        <v>0.42500000000000004</v>
      </c>
      <c r="J43" s="193" t="s">
        <v>23</v>
      </c>
      <c r="K43" s="218" t="s">
        <v>206</v>
      </c>
      <c r="L43" s="229"/>
      <c r="M43" s="222"/>
      <c r="N43" s="222"/>
      <c r="O43" s="222"/>
    </row>
    <row r="44" spans="1:15" s="106" customFormat="1" ht="18.75" customHeight="1">
      <c r="A44" s="100">
        <v>43</v>
      </c>
      <c r="B44" s="100" t="s">
        <v>30</v>
      </c>
      <c r="C44" s="100" t="s">
        <v>30</v>
      </c>
      <c r="D44" s="101" t="s">
        <v>102</v>
      </c>
      <c r="E44" s="99">
        <v>2</v>
      </c>
      <c r="F44" s="99" t="str">
        <f t="shared" si="5"/>
        <v>budynek gospodarczy</v>
      </c>
      <c r="G44" s="99" t="s">
        <v>10</v>
      </c>
      <c r="H44" s="102">
        <f>5*2*7</f>
        <v>70</v>
      </c>
      <c r="I44" s="103">
        <f t="shared" si="3"/>
        <v>1.1900000000000002</v>
      </c>
      <c r="J44" s="104" t="s">
        <v>26</v>
      </c>
      <c r="K44" s="217" t="s">
        <v>74</v>
      </c>
      <c r="L44" s="230"/>
      <c r="M44" s="222"/>
      <c r="N44" s="222"/>
      <c r="O44" s="222"/>
    </row>
    <row r="45" spans="1:15" s="106" customFormat="1" ht="13.5" customHeight="1">
      <c r="A45" s="100">
        <f t="shared" si="2"/>
        <v>44</v>
      </c>
      <c r="B45" s="100" t="s">
        <v>30</v>
      </c>
      <c r="C45" s="100" t="s">
        <v>30</v>
      </c>
      <c r="D45" s="101" t="s">
        <v>102</v>
      </c>
      <c r="E45" s="99">
        <v>2</v>
      </c>
      <c r="F45" s="99" t="str">
        <f t="shared" si="5"/>
        <v>budynek gospodarczy</v>
      </c>
      <c r="G45" s="99" t="s">
        <v>10</v>
      </c>
      <c r="H45" s="102">
        <f>3*2*5</f>
        <v>30</v>
      </c>
      <c r="I45" s="103">
        <f t="shared" si="3"/>
        <v>0.51</v>
      </c>
      <c r="J45" s="104" t="s">
        <v>23</v>
      </c>
      <c r="K45" s="217" t="s">
        <v>72</v>
      </c>
      <c r="L45" s="230"/>
      <c r="M45" s="222"/>
      <c r="N45" s="222"/>
      <c r="O45" s="222"/>
    </row>
    <row r="46" spans="1:15" s="106" customFormat="1" ht="13.5" customHeight="1">
      <c r="A46" s="100">
        <f t="shared" si="2"/>
        <v>45</v>
      </c>
      <c r="B46" s="100" t="s">
        <v>30</v>
      </c>
      <c r="C46" s="100" t="s">
        <v>30</v>
      </c>
      <c r="D46" s="101" t="s">
        <v>102</v>
      </c>
      <c r="E46" s="99">
        <v>2</v>
      </c>
      <c r="F46" s="99" t="str">
        <f t="shared" si="5"/>
        <v>budynek gospodarczy</v>
      </c>
      <c r="G46" s="99" t="s">
        <v>10</v>
      </c>
      <c r="H46" s="102">
        <f>2.5*6</f>
        <v>15</v>
      </c>
      <c r="I46" s="103">
        <f t="shared" si="3"/>
        <v>0.255</v>
      </c>
      <c r="J46" s="104" t="s">
        <v>23</v>
      </c>
      <c r="K46" s="217" t="s">
        <v>72</v>
      </c>
      <c r="L46" s="230"/>
      <c r="M46" s="222"/>
      <c r="N46" s="222"/>
      <c r="O46" s="222"/>
    </row>
    <row r="47" spans="1:15" s="106" customFormat="1" ht="10.5" customHeight="1">
      <c r="A47" s="100">
        <f t="shared" si="2"/>
        <v>46</v>
      </c>
      <c r="B47" s="100" t="s">
        <v>30</v>
      </c>
      <c r="C47" s="100" t="s">
        <v>30</v>
      </c>
      <c r="D47" s="101" t="s">
        <v>203</v>
      </c>
      <c r="E47" s="99">
        <v>2</v>
      </c>
      <c r="F47" s="99" t="str">
        <f t="shared" si="5"/>
        <v>budynek gospodarczy</v>
      </c>
      <c r="G47" s="99" t="s">
        <v>10</v>
      </c>
      <c r="H47" s="102">
        <v>40</v>
      </c>
      <c r="I47" s="103">
        <f t="shared" si="3"/>
        <v>0.68</v>
      </c>
      <c r="J47" s="104" t="s">
        <v>23</v>
      </c>
      <c r="K47" s="217" t="s">
        <v>72</v>
      </c>
      <c r="L47" s="230"/>
      <c r="M47" s="222"/>
      <c r="N47" s="222"/>
      <c r="O47" s="222"/>
    </row>
    <row r="48" spans="1:15" s="106" customFormat="1" ht="11.25">
      <c r="A48" s="100">
        <v>47</v>
      </c>
      <c r="B48" s="100" t="s">
        <v>30</v>
      </c>
      <c r="C48" s="100" t="s">
        <v>30</v>
      </c>
      <c r="D48" s="101" t="s">
        <v>98</v>
      </c>
      <c r="E48" s="99">
        <v>2</v>
      </c>
      <c r="F48" s="99" t="str">
        <f>IF(E48=2,"budynek gospodarczy","budynek mieszkalny")</f>
        <v>budynek gospodarczy</v>
      </c>
      <c r="G48" s="99" t="s">
        <v>10</v>
      </c>
      <c r="H48" s="102">
        <f>4*6</f>
        <v>24</v>
      </c>
      <c r="I48" s="103">
        <f t="shared" si="3"/>
        <v>0.40800000000000003</v>
      </c>
      <c r="J48" s="104" t="s">
        <v>23</v>
      </c>
      <c r="K48" s="217" t="s">
        <v>72</v>
      </c>
      <c r="L48" s="230"/>
      <c r="M48" s="222"/>
      <c r="N48" s="222"/>
      <c r="O48" s="222"/>
    </row>
    <row r="49" spans="1:15" s="106" customFormat="1" ht="11.25">
      <c r="A49" s="100">
        <f t="shared" si="2"/>
        <v>48</v>
      </c>
      <c r="B49" s="100" t="s">
        <v>30</v>
      </c>
      <c r="C49" s="100" t="s">
        <v>30</v>
      </c>
      <c r="D49" s="101" t="s">
        <v>99</v>
      </c>
      <c r="E49" s="99">
        <v>2</v>
      </c>
      <c r="F49" s="99" t="str">
        <f>IF(E49=2,"budynek gospodarczy","budynek mieszkalny")</f>
        <v>budynek gospodarczy</v>
      </c>
      <c r="G49" s="99" t="s">
        <v>10</v>
      </c>
      <c r="H49" s="102">
        <f>3*4</f>
        <v>12</v>
      </c>
      <c r="I49" s="103">
        <f t="shared" si="3"/>
        <v>0.20400000000000001</v>
      </c>
      <c r="J49" s="104" t="s">
        <v>23</v>
      </c>
      <c r="K49" s="217" t="s">
        <v>72</v>
      </c>
      <c r="L49" s="230"/>
      <c r="M49" s="222"/>
      <c r="N49" s="222"/>
      <c r="O49" s="222"/>
    </row>
    <row r="50" spans="1:15" s="106" customFormat="1" ht="11.25">
      <c r="A50" s="100">
        <f t="shared" si="2"/>
        <v>49</v>
      </c>
      <c r="B50" s="100" t="s">
        <v>30</v>
      </c>
      <c r="C50" s="100" t="s">
        <v>30</v>
      </c>
      <c r="D50" s="101" t="s">
        <v>99</v>
      </c>
      <c r="E50" s="99">
        <v>2</v>
      </c>
      <c r="F50" s="99" t="str">
        <f>IF(E50=2,"budynek gospodarczy","budynek mieszkalny")</f>
        <v>budynek gospodarczy</v>
      </c>
      <c r="G50" s="99" t="s">
        <v>10</v>
      </c>
      <c r="H50" s="102">
        <f>2*2</f>
        <v>4</v>
      </c>
      <c r="I50" s="103">
        <f t="shared" si="3"/>
        <v>0.068</v>
      </c>
      <c r="J50" s="104" t="s">
        <v>23</v>
      </c>
      <c r="K50" s="217" t="s">
        <v>72</v>
      </c>
      <c r="L50" s="230"/>
      <c r="M50" s="222"/>
      <c r="N50" s="222"/>
      <c r="O50" s="222"/>
    </row>
    <row r="51" spans="1:15" s="106" customFormat="1" ht="11.25">
      <c r="A51" s="100">
        <v>50</v>
      </c>
      <c r="B51" s="100" t="s">
        <v>30</v>
      </c>
      <c r="C51" s="100" t="s">
        <v>30</v>
      </c>
      <c r="D51" s="101" t="s">
        <v>99</v>
      </c>
      <c r="E51" s="99">
        <v>0</v>
      </c>
      <c r="F51" s="99" t="str">
        <f>IF(E51=2,"budynek gospodarczy","budynek mieszkalny")</f>
        <v>budynek mieszkalny</v>
      </c>
      <c r="G51" s="99" t="s">
        <v>10</v>
      </c>
      <c r="H51" s="102">
        <f>5*2*9</f>
        <v>90</v>
      </c>
      <c r="I51" s="103">
        <f t="shared" si="3"/>
        <v>1.53</v>
      </c>
      <c r="J51" s="104" t="s">
        <v>24</v>
      </c>
      <c r="K51" s="217" t="s">
        <v>73</v>
      </c>
      <c r="L51" s="230"/>
      <c r="M51" s="222"/>
      <c r="N51" s="222"/>
      <c r="O51" s="222"/>
    </row>
    <row r="52" spans="1:15" s="106" customFormat="1" ht="15.75" customHeight="1">
      <c r="A52" s="100">
        <f t="shared" si="2"/>
        <v>51</v>
      </c>
      <c r="B52" s="100" t="s">
        <v>30</v>
      </c>
      <c r="C52" s="100" t="s">
        <v>30</v>
      </c>
      <c r="D52" s="101" t="s">
        <v>118</v>
      </c>
      <c r="E52" s="99">
        <v>2</v>
      </c>
      <c r="F52" s="99" t="str">
        <f aca="true" t="shared" si="6" ref="F52:F67">IF(E52=2,"budynek gospodarczy","budynek mieszkalny")</f>
        <v>budynek gospodarczy</v>
      </c>
      <c r="G52" s="99" t="s">
        <v>10</v>
      </c>
      <c r="H52" s="102">
        <f>3*5</f>
        <v>15</v>
      </c>
      <c r="I52" s="103">
        <f t="shared" si="3"/>
        <v>0.255</v>
      </c>
      <c r="J52" s="104" t="s">
        <v>23</v>
      </c>
      <c r="K52" s="217" t="s">
        <v>72</v>
      </c>
      <c r="L52" s="229"/>
      <c r="M52" s="222"/>
      <c r="N52" s="222"/>
      <c r="O52" s="222"/>
    </row>
    <row r="53" spans="1:15" s="106" customFormat="1" ht="11.25">
      <c r="A53" s="100">
        <v>52</v>
      </c>
      <c r="B53" s="191" t="s">
        <v>30</v>
      </c>
      <c r="C53" s="191" t="s">
        <v>30</v>
      </c>
      <c r="D53" s="192" t="s">
        <v>222</v>
      </c>
      <c r="E53" s="99">
        <v>3</v>
      </c>
      <c r="F53" s="194" t="s">
        <v>18</v>
      </c>
      <c r="G53" s="190" t="s">
        <v>10</v>
      </c>
      <c r="H53" s="102">
        <v>4</v>
      </c>
      <c r="I53" s="103">
        <f t="shared" si="3"/>
        <v>0.068</v>
      </c>
      <c r="J53" s="193" t="s">
        <v>23</v>
      </c>
      <c r="K53" s="218" t="s">
        <v>206</v>
      </c>
      <c r="L53" s="229"/>
      <c r="M53" s="222"/>
      <c r="N53" s="222"/>
      <c r="O53" s="222"/>
    </row>
    <row r="54" spans="1:15" s="106" customFormat="1" ht="11.25">
      <c r="A54" s="100">
        <v>53</v>
      </c>
      <c r="B54" s="100" t="s">
        <v>30</v>
      </c>
      <c r="C54" s="100" t="s">
        <v>30</v>
      </c>
      <c r="D54" s="101" t="s">
        <v>100</v>
      </c>
      <c r="E54" s="99">
        <v>2</v>
      </c>
      <c r="F54" s="99" t="str">
        <f t="shared" si="6"/>
        <v>budynek gospodarczy</v>
      </c>
      <c r="G54" s="99" t="s">
        <v>10</v>
      </c>
      <c r="H54" s="102">
        <f>5*12</f>
        <v>60</v>
      </c>
      <c r="I54" s="103">
        <f t="shared" si="3"/>
        <v>1.02</v>
      </c>
      <c r="J54" s="104" t="s">
        <v>26</v>
      </c>
      <c r="K54" s="217" t="s">
        <v>74</v>
      </c>
      <c r="L54" s="230"/>
      <c r="M54" s="222"/>
      <c r="N54" s="222"/>
      <c r="O54" s="222"/>
    </row>
    <row r="55" spans="1:15" s="106" customFormat="1" ht="11.25">
      <c r="A55" s="100">
        <f t="shared" si="2"/>
        <v>54</v>
      </c>
      <c r="B55" s="100" t="s">
        <v>30</v>
      </c>
      <c r="C55" s="100" t="s">
        <v>30</v>
      </c>
      <c r="D55" s="101" t="s">
        <v>101</v>
      </c>
      <c r="E55" s="99">
        <v>2</v>
      </c>
      <c r="F55" s="99" t="str">
        <f t="shared" si="6"/>
        <v>budynek gospodarczy</v>
      </c>
      <c r="G55" s="99" t="s">
        <v>10</v>
      </c>
      <c r="H55" s="102">
        <f>3*2</f>
        <v>6</v>
      </c>
      <c r="I55" s="103">
        <f t="shared" si="3"/>
        <v>0.10200000000000001</v>
      </c>
      <c r="J55" s="104" t="s">
        <v>23</v>
      </c>
      <c r="K55" s="217" t="s">
        <v>72</v>
      </c>
      <c r="L55" s="230"/>
      <c r="M55" s="222"/>
      <c r="N55" s="222"/>
      <c r="O55" s="222"/>
    </row>
    <row r="56" spans="1:15" s="106" customFormat="1" ht="11.25">
      <c r="A56" s="100">
        <f t="shared" si="2"/>
        <v>55</v>
      </c>
      <c r="B56" s="100" t="s">
        <v>30</v>
      </c>
      <c r="C56" s="100" t="s">
        <v>30</v>
      </c>
      <c r="D56" s="101" t="s">
        <v>97</v>
      </c>
      <c r="E56" s="99">
        <v>2</v>
      </c>
      <c r="F56" s="99" t="str">
        <f t="shared" si="6"/>
        <v>budynek gospodarczy</v>
      </c>
      <c r="G56" s="99" t="s">
        <v>10</v>
      </c>
      <c r="H56" s="102">
        <f>6*12*2</f>
        <v>144</v>
      </c>
      <c r="I56" s="103">
        <f t="shared" si="3"/>
        <v>2.4480000000000004</v>
      </c>
      <c r="J56" s="104" t="s">
        <v>26</v>
      </c>
      <c r="K56" s="217" t="s">
        <v>74</v>
      </c>
      <c r="L56" s="230"/>
      <c r="M56" s="222"/>
      <c r="N56" s="222"/>
      <c r="O56" s="222"/>
    </row>
    <row r="57" spans="1:15" s="106" customFormat="1" ht="11.25">
      <c r="A57" s="100">
        <f t="shared" si="2"/>
        <v>56</v>
      </c>
      <c r="B57" s="100" t="s">
        <v>30</v>
      </c>
      <c r="C57" s="100" t="s">
        <v>30</v>
      </c>
      <c r="D57" s="101" t="s">
        <v>96</v>
      </c>
      <c r="E57" s="99">
        <v>0</v>
      </c>
      <c r="F57" s="99" t="str">
        <f t="shared" si="6"/>
        <v>budynek mieszkalny</v>
      </c>
      <c r="G57" s="99" t="s">
        <v>10</v>
      </c>
      <c r="H57" s="102">
        <f>6*2*14</f>
        <v>168</v>
      </c>
      <c r="I57" s="103">
        <f t="shared" si="3"/>
        <v>2.8560000000000003</v>
      </c>
      <c r="J57" s="104" t="s">
        <v>24</v>
      </c>
      <c r="K57" s="217" t="s">
        <v>73</v>
      </c>
      <c r="L57" s="230"/>
      <c r="M57" s="222"/>
      <c r="N57" s="222"/>
      <c r="O57" s="222"/>
    </row>
    <row r="58" spans="1:15" s="106" customFormat="1" ht="11.25">
      <c r="A58" s="100">
        <f t="shared" si="2"/>
        <v>57</v>
      </c>
      <c r="B58" s="100" t="s">
        <v>30</v>
      </c>
      <c r="C58" s="100" t="s">
        <v>30</v>
      </c>
      <c r="D58" s="101" t="s">
        <v>96</v>
      </c>
      <c r="E58" s="99">
        <v>2</v>
      </c>
      <c r="F58" s="99" t="str">
        <f t="shared" si="6"/>
        <v>budynek gospodarczy</v>
      </c>
      <c r="G58" s="99" t="s">
        <v>10</v>
      </c>
      <c r="H58" s="102">
        <v>900</v>
      </c>
      <c r="I58" s="103">
        <f t="shared" si="3"/>
        <v>15.3</v>
      </c>
      <c r="J58" s="104" t="s">
        <v>26</v>
      </c>
      <c r="K58" s="218" t="s">
        <v>206</v>
      </c>
      <c r="L58" s="230"/>
      <c r="M58" s="222"/>
      <c r="N58" s="222"/>
      <c r="O58" s="222"/>
    </row>
    <row r="59" spans="1:15" s="106" customFormat="1" ht="11.25">
      <c r="A59" s="100">
        <f t="shared" si="2"/>
        <v>58</v>
      </c>
      <c r="B59" s="100" t="s">
        <v>30</v>
      </c>
      <c r="C59" s="100" t="s">
        <v>30</v>
      </c>
      <c r="D59" s="101" t="s">
        <v>95</v>
      </c>
      <c r="E59" s="99">
        <v>2</v>
      </c>
      <c r="F59" s="99" t="str">
        <f t="shared" si="6"/>
        <v>budynek gospodarczy</v>
      </c>
      <c r="G59" s="99" t="s">
        <v>10</v>
      </c>
      <c r="H59" s="102">
        <f>7*2*36</f>
        <v>504</v>
      </c>
      <c r="I59" s="103">
        <f t="shared" si="3"/>
        <v>8.568000000000001</v>
      </c>
      <c r="J59" s="104" t="s">
        <v>26</v>
      </c>
      <c r="K59" s="217" t="s">
        <v>74</v>
      </c>
      <c r="L59" s="230"/>
      <c r="M59" s="222"/>
      <c r="N59" s="222"/>
      <c r="O59" s="222"/>
    </row>
    <row r="60" spans="1:15" s="106" customFormat="1" ht="11.25">
      <c r="A60" s="100">
        <f t="shared" si="2"/>
        <v>59</v>
      </c>
      <c r="B60" s="100" t="s">
        <v>30</v>
      </c>
      <c r="C60" s="100" t="s">
        <v>30</v>
      </c>
      <c r="D60" s="101" t="s">
        <v>94</v>
      </c>
      <c r="E60" s="99">
        <v>2</v>
      </c>
      <c r="F60" s="99" t="str">
        <f t="shared" si="6"/>
        <v>budynek gospodarczy</v>
      </c>
      <c r="G60" s="99" t="s">
        <v>10</v>
      </c>
      <c r="H60" s="102">
        <f>4*2*16</f>
        <v>128</v>
      </c>
      <c r="I60" s="103">
        <f t="shared" si="3"/>
        <v>2.176</v>
      </c>
      <c r="J60" s="104" t="s">
        <v>26</v>
      </c>
      <c r="K60" s="217" t="s">
        <v>74</v>
      </c>
      <c r="L60" s="230"/>
      <c r="M60" s="222"/>
      <c r="N60" s="222"/>
      <c r="O60" s="222"/>
    </row>
    <row r="61" spans="1:15" s="106" customFormat="1" ht="11.25">
      <c r="A61" s="100">
        <f t="shared" si="2"/>
        <v>60</v>
      </c>
      <c r="B61" s="100" t="s">
        <v>30</v>
      </c>
      <c r="C61" s="100" t="s">
        <v>30</v>
      </c>
      <c r="D61" s="101" t="s">
        <v>93</v>
      </c>
      <c r="E61" s="99">
        <v>2</v>
      </c>
      <c r="F61" s="99" t="str">
        <f t="shared" si="6"/>
        <v>budynek gospodarczy</v>
      </c>
      <c r="G61" s="99" t="s">
        <v>10</v>
      </c>
      <c r="H61" s="102">
        <v>220</v>
      </c>
      <c r="I61" s="103">
        <f t="shared" si="3"/>
        <v>3.74</v>
      </c>
      <c r="J61" s="104" t="s">
        <v>26</v>
      </c>
      <c r="K61" s="218" t="s">
        <v>206</v>
      </c>
      <c r="L61" s="230"/>
      <c r="M61" s="222"/>
      <c r="N61" s="222"/>
      <c r="O61" s="222"/>
    </row>
    <row r="62" spans="1:15" s="106" customFormat="1" ht="11.25">
      <c r="A62" s="100">
        <f t="shared" si="2"/>
        <v>61</v>
      </c>
      <c r="B62" s="100" t="s">
        <v>30</v>
      </c>
      <c r="C62" s="100" t="s">
        <v>30</v>
      </c>
      <c r="D62" s="101" t="s">
        <v>92</v>
      </c>
      <c r="E62" s="99">
        <v>2</v>
      </c>
      <c r="F62" s="99" t="str">
        <f t="shared" si="6"/>
        <v>budynek gospodarczy</v>
      </c>
      <c r="G62" s="99" t="s">
        <v>10</v>
      </c>
      <c r="H62" s="102">
        <f>4*2*20</f>
        <v>160</v>
      </c>
      <c r="I62" s="103">
        <f t="shared" si="3"/>
        <v>2.72</v>
      </c>
      <c r="J62" s="104" t="s">
        <v>26</v>
      </c>
      <c r="K62" s="217" t="s">
        <v>74</v>
      </c>
      <c r="L62" s="230"/>
      <c r="M62" s="222"/>
      <c r="N62" s="222"/>
      <c r="O62" s="222"/>
    </row>
    <row r="63" spans="1:15" s="106" customFormat="1" ht="15" customHeight="1">
      <c r="A63" s="100">
        <f t="shared" si="2"/>
        <v>62</v>
      </c>
      <c r="B63" s="100" t="s">
        <v>30</v>
      </c>
      <c r="C63" s="100" t="s">
        <v>30</v>
      </c>
      <c r="D63" s="101" t="s">
        <v>63</v>
      </c>
      <c r="E63" s="99">
        <v>2</v>
      </c>
      <c r="F63" s="99" t="str">
        <f t="shared" si="6"/>
        <v>budynek gospodarczy</v>
      </c>
      <c r="G63" s="99" t="s">
        <v>10</v>
      </c>
      <c r="H63" s="102">
        <f>4*10</f>
        <v>40</v>
      </c>
      <c r="I63" s="103">
        <f t="shared" si="3"/>
        <v>0.68</v>
      </c>
      <c r="J63" s="104" t="s">
        <v>23</v>
      </c>
      <c r="K63" s="217" t="s">
        <v>72</v>
      </c>
      <c r="L63" s="230"/>
      <c r="M63" s="222"/>
      <c r="N63" s="222"/>
      <c r="O63" s="222"/>
    </row>
    <row r="64" spans="1:15" s="106" customFormat="1" ht="11.25">
      <c r="A64" s="100">
        <v>63</v>
      </c>
      <c r="B64" s="191" t="s">
        <v>30</v>
      </c>
      <c r="C64" s="191" t="s">
        <v>30</v>
      </c>
      <c r="D64" s="192" t="s">
        <v>220</v>
      </c>
      <c r="E64" s="99">
        <v>3</v>
      </c>
      <c r="F64" s="194" t="s">
        <v>221</v>
      </c>
      <c r="G64" s="190" t="s">
        <v>10</v>
      </c>
      <c r="H64" s="102">
        <v>60</v>
      </c>
      <c r="I64" s="103">
        <f t="shared" si="3"/>
        <v>1.02</v>
      </c>
      <c r="J64" s="193" t="s">
        <v>23</v>
      </c>
      <c r="K64" s="218" t="s">
        <v>206</v>
      </c>
      <c r="L64" s="230"/>
      <c r="M64" s="222"/>
      <c r="N64" s="222"/>
      <c r="O64" s="222"/>
    </row>
    <row r="65" spans="1:15" s="106" customFormat="1" ht="11.25">
      <c r="A65" s="100">
        <v>64</v>
      </c>
      <c r="B65" s="191" t="s">
        <v>30</v>
      </c>
      <c r="C65" s="191" t="s">
        <v>30</v>
      </c>
      <c r="D65" s="192" t="s">
        <v>216</v>
      </c>
      <c r="E65" s="99">
        <v>3</v>
      </c>
      <c r="F65" s="194" t="s">
        <v>18</v>
      </c>
      <c r="G65" s="190" t="s">
        <v>10</v>
      </c>
      <c r="H65" s="102">
        <v>4</v>
      </c>
      <c r="I65" s="103">
        <f t="shared" si="3"/>
        <v>0.068</v>
      </c>
      <c r="J65" s="193" t="s">
        <v>23</v>
      </c>
      <c r="K65" s="218" t="s">
        <v>206</v>
      </c>
      <c r="L65" s="230"/>
      <c r="M65" s="222"/>
      <c r="N65" s="222"/>
      <c r="O65" s="222"/>
    </row>
    <row r="66" spans="1:15" s="106" customFormat="1" ht="13.5" customHeight="1">
      <c r="A66" s="100">
        <v>65</v>
      </c>
      <c r="B66" s="100" t="s">
        <v>30</v>
      </c>
      <c r="C66" s="100" t="s">
        <v>30</v>
      </c>
      <c r="D66" s="101" t="s">
        <v>61</v>
      </c>
      <c r="E66" s="99">
        <v>2</v>
      </c>
      <c r="F66" s="99" t="str">
        <f t="shared" si="6"/>
        <v>budynek gospodarczy</v>
      </c>
      <c r="G66" s="99" t="s">
        <v>10</v>
      </c>
      <c r="H66" s="102">
        <f>2*2*4+16*2.5</f>
        <v>56</v>
      </c>
      <c r="I66" s="103">
        <f t="shared" si="3"/>
        <v>0.9520000000000001</v>
      </c>
      <c r="J66" s="104" t="s">
        <v>26</v>
      </c>
      <c r="K66" s="217" t="s">
        <v>74</v>
      </c>
      <c r="L66" s="230"/>
      <c r="M66" s="222"/>
      <c r="N66" s="222"/>
      <c r="O66" s="222"/>
    </row>
    <row r="67" spans="1:34" ht="11.25">
      <c r="A67" s="100">
        <f t="shared" si="2"/>
        <v>66</v>
      </c>
      <c r="B67" s="100" t="s">
        <v>30</v>
      </c>
      <c r="C67" s="100" t="s">
        <v>30</v>
      </c>
      <c r="D67" s="101" t="s">
        <v>62</v>
      </c>
      <c r="E67" s="99">
        <v>2</v>
      </c>
      <c r="F67" s="99" t="str">
        <f t="shared" si="6"/>
        <v>budynek gospodarczy</v>
      </c>
      <c r="G67" s="99" t="s">
        <v>10</v>
      </c>
      <c r="H67" s="102">
        <v>80</v>
      </c>
      <c r="I67" s="103">
        <f t="shared" si="3"/>
        <v>1.36</v>
      </c>
      <c r="J67" s="104" t="s">
        <v>26</v>
      </c>
      <c r="K67" s="218" t="s">
        <v>206</v>
      </c>
      <c r="L67" s="230"/>
      <c r="M67" s="222"/>
      <c r="N67" s="222"/>
      <c r="O67" s="222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</row>
    <row r="68" spans="7:12" ht="11.25">
      <c r="G68" s="114" t="s">
        <v>11</v>
      </c>
      <c r="H68" s="117">
        <f>SUM(H2:H67)</f>
        <v>5910</v>
      </c>
      <c r="I68" s="118">
        <f>SUM(I2:I67)</f>
        <v>100.47</v>
      </c>
      <c r="J68" s="119"/>
      <c r="K68" s="119"/>
      <c r="L68" s="117"/>
    </row>
    <row r="70" spans="6:14" ht="11.25">
      <c r="F70" s="124" t="s">
        <v>12</v>
      </c>
      <c r="G70" s="124" t="s">
        <v>13</v>
      </c>
      <c r="H70" s="124" t="s">
        <v>14</v>
      </c>
      <c r="I70" s="124" t="s">
        <v>15</v>
      </c>
      <c r="J70" s="256" t="s">
        <v>234</v>
      </c>
      <c r="K70" s="244" t="s">
        <v>230</v>
      </c>
      <c r="L70" s="244" t="s">
        <v>227</v>
      </c>
      <c r="M70" s="244" t="s">
        <v>228</v>
      </c>
      <c r="N70" s="244" t="s">
        <v>229</v>
      </c>
    </row>
    <row r="71" spans="6:14" ht="11.25">
      <c r="F71" s="107" t="s">
        <v>16</v>
      </c>
      <c r="G71" s="107">
        <v>5</v>
      </c>
      <c r="H71" s="110">
        <f>SUMIF(E$2:I67,E28,H$2:H67)</f>
        <v>522</v>
      </c>
      <c r="I71" s="111">
        <f>SUMIF(E$2:I67,E28,I$2:I67)</f>
        <v>8.874</v>
      </c>
      <c r="J71" s="257"/>
      <c r="K71" s="126"/>
      <c r="L71" s="125">
        <v>48</v>
      </c>
      <c r="M71" s="127">
        <v>474</v>
      </c>
      <c r="N71" s="125"/>
    </row>
    <row r="72" spans="6:14" ht="11.25">
      <c r="F72" s="107" t="s">
        <v>17</v>
      </c>
      <c r="G72" s="107">
        <v>50</v>
      </c>
      <c r="H72" s="110">
        <v>4769</v>
      </c>
      <c r="I72" s="111">
        <v>81.073</v>
      </c>
      <c r="J72" s="258"/>
      <c r="K72" s="107">
        <v>1336</v>
      </c>
      <c r="L72" s="107">
        <v>625</v>
      </c>
      <c r="M72" s="128"/>
      <c r="N72" s="125">
        <v>2808</v>
      </c>
    </row>
    <row r="73" spans="6:14" ht="11.25">
      <c r="F73" s="107" t="s">
        <v>18</v>
      </c>
      <c r="G73" s="107">
        <v>11</v>
      </c>
      <c r="H73" s="110">
        <v>619</v>
      </c>
      <c r="I73" s="111">
        <v>10.523</v>
      </c>
      <c r="J73" s="259">
        <v>822.353</v>
      </c>
      <c r="K73" s="111">
        <v>619</v>
      </c>
      <c r="L73" s="111"/>
      <c r="M73" s="129"/>
      <c r="N73" s="111"/>
    </row>
    <row r="74" spans="6:14" ht="11.25">
      <c r="F74" s="107" t="s">
        <v>10</v>
      </c>
      <c r="G74" s="107">
        <v>66</v>
      </c>
      <c r="H74" s="110">
        <f>SUMIF(G$2:I67,G3,H$2:H67)</f>
        <v>5910</v>
      </c>
      <c r="I74" s="111">
        <f>SUMIF(G$2:I67,G$2,I$2:I67)</f>
        <v>100.47</v>
      </c>
      <c r="J74" s="259">
        <v>822.353</v>
      </c>
      <c r="K74" s="111">
        <v>1955</v>
      </c>
      <c r="L74" s="111">
        <v>673</v>
      </c>
      <c r="M74" s="111">
        <v>474</v>
      </c>
      <c r="N74" s="111">
        <v>2808</v>
      </c>
    </row>
    <row r="75" spans="6:14" ht="11.25">
      <c r="F75" s="107" t="s">
        <v>19</v>
      </c>
      <c r="G75" s="107"/>
      <c r="H75" s="110">
        <f>SUMIF(G$2:I67,#REF!,H$2:H67)</f>
        <v>0</v>
      </c>
      <c r="I75" s="111">
        <f>SUMIF(G$2:I67,#REF!,I$2:I67)</f>
        <v>0</v>
      </c>
      <c r="J75" s="257"/>
      <c r="K75" s="125"/>
      <c r="L75" s="125"/>
      <c r="M75" s="130"/>
      <c r="N75" s="125"/>
    </row>
    <row r="76" spans="6:14" ht="11.25">
      <c r="F76" s="107" t="s">
        <v>20</v>
      </c>
      <c r="G76" s="107"/>
      <c r="H76" s="110">
        <f>SUMIF(G$2:I68,#REF!,H$2:H68)</f>
        <v>0</v>
      </c>
      <c r="I76" s="111">
        <f>SUMIF(G$2:I68,#REF!,I$2:I68)</f>
        <v>0</v>
      </c>
      <c r="J76" s="257"/>
      <c r="K76" s="125"/>
      <c r="L76" s="125"/>
      <c r="M76" s="130"/>
      <c r="N76" s="125"/>
    </row>
    <row r="77" spans="6:14" ht="11.25">
      <c r="F77" s="107" t="s">
        <v>21</v>
      </c>
      <c r="G77" s="107"/>
      <c r="H77" s="131"/>
      <c r="I77" s="131"/>
      <c r="J77" s="257"/>
      <c r="K77" s="125"/>
      <c r="L77" s="125"/>
      <c r="M77" s="130"/>
      <c r="N77" s="125"/>
    </row>
  </sheetData>
  <sheetProtection/>
  <autoFilter ref="A1:O68"/>
  <printOptions/>
  <pageMargins left="0.31496062992125984" right="0.2755905511811024" top="0.984251968503937" bottom="0.98425196850393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O10" sqref="O10"/>
    </sheetView>
  </sheetViews>
  <sheetFormatPr defaultColWidth="9.140625" defaultRowHeight="12.75" outlineLevelCol="1"/>
  <cols>
    <col min="1" max="1" width="4.7109375" style="148" customWidth="1"/>
    <col min="2" max="2" width="13.00390625" style="148" customWidth="1"/>
    <col min="3" max="3" width="14.140625" style="149" customWidth="1" outlineLevel="1"/>
    <col min="4" max="4" width="13.57421875" style="150" customWidth="1" outlineLevel="1"/>
    <col min="5" max="5" width="4.8515625" style="148" customWidth="1"/>
    <col min="6" max="6" width="17.28125" style="148" customWidth="1" outlineLevel="1"/>
    <col min="7" max="7" width="6.00390625" style="148" customWidth="1" outlineLevel="1"/>
    <col min="8" max="8" width="7.7109375" style="148" customWidth="1"/>
    <col min="9" max="9" width="7.28125" style="148" customWidth="1" outlineLevel="1"/>
    <col min="10" max="10" width="6.8515625" style="148" customWidth="1" outlineLevel="1"/>
    <col min="11" max="11" width="7.28125" style="148" customWidth="1" outlineLevel="1"/>
    <col min="12" max="12" width="9.00390625" style="153" bestFit="1" customWidth="1"/>
    <col min="13" max="13" width="7.7109375" style="148" customWidth="1"/>
    <col min="14" max="14" width="10.28125" style="148" customWidth="1"/>
    <col min="15" max="15" width="10.140625" style="148" customWidth="1"/>
    <col min="16" max="16384" width="9.140625" style="148" customWidth="1"/>
  </cols>
  <sheetData>
    <row r="1" spans="1:15" s="134" customFormat="1" ht="67.5">
      <c r="A1" s="132" t="s">
        <v>0</v>
      </c>
      <c r="B1" s="132" t="s">
        <v>1</v>
      </c>
      <c r="C1" s="132" t="s">
        <v>2</v>
      </c>
      <c r="D1" s="133" t="s">
        <v>3</v>
      </c>
      <c r="E1" s="132"/>
      <c r="F1" s="132" t="s">
        <v>4</v>
      </c>
      <c r="G1" s="132" t="s">
        <v>5</v>
      </c>
      <c r="H1" s="132" t="s">
        <v>6</v>
      </c>
      <c r="I1" s="132" t="s">
        <v>7</v>
      </c>
      <c r="J1" s="132" t="s">
        <v>8</v>
      </c>
      <c r="K1" s="245" t="s">
        <v>9</v>
      </c>
      <c r="L1" s="252"/>
      <c r="M1" s="249"/>
      <c r="N1" s="249"/>
      <c r="O1" s="249"/>
    </row>
    <row r="2" spans="1:15" s="141" customFormat="1" ht="11.25">
      <c r="A2" s="87">
        <v>1</v>
      </c>
      <c r="B2" s="185" t="s">
        <v>39</v>
      </c>
      <c r="C2" s="186" t="s">
        <v>39</v>
      </c>
      <c r="D2" s="187" t="s">
        <v>223</v>
      </c>
      <c r="E2" s="87">
        <v>3</v>
      </c>
      <c r="F2" s="188" t="s">
        <v>18</v>
      </c>
      <c r="G2" s="185" t="s">
        <v>10</v>
      </c>
      <c r="H2" s="113">
        <v>30</v>
      </c>
      <c r="I2" s="139">
        <f>0.017*H2</f>
        <v>0.51</v>
      </c>
      <c r="J2" s="189" t="s">
        <v>23</v>
      </c>
      <c r="K2" s="219" t="s">
        <v>206</v>
      </c>
      <c r="L2" s="253"/>
      <c r="M2" s="250"/>
      <c r="N2" s="250"/>
      <c r="O2" s="250"/>
    </row>
    <row r="3" spans="1:15" s="141" customFormat="1" ht="11.25">
      <c r="A3" s="100">
        <v>2</v>
      </c>
      <c r="B3" s="135" t="s">
        <v>39</v>
      </c>
      <c r="C3" s="136" t="s">
        <v>39</v>
      </c>
      <c r="D3" s="137" t="s">
        <v>88</v>
      </c>
      <c r="E3" s="135">
        <v>2</v>
      </c>
      <c r="F3" s="135" t="str">
        <f aca="true" t="shared" si="0" ref="F3:F12">IF(E3=2,"budynek gospodarczy","budynek mieszkalny")</f>
        <v>budynek gospodarczy</v>
      </c>
      <c r="G3" s="135" t="s">
        <v>10</v>
      </c>
      <c r="H3" s="138">
        <f>5*2*30</f>
        <v>300</v>
      </c>
      <c r="I3" s="139">
        <f aca="true" t="shared" si="1" ref="I3:I12">0.017*H3</f>
        <v>5.1000000000000005</v>
      </c>
      <c r="J3" s="140" t="s">
        <v>26</v>
      </c>
      <c r="K3" s="246" t="s">
        <v>74</v>
      </c>
      <c r="L3" s="253"/>
      <c r="M3" s="250"/>
      <c r="N3" s="250"/>
      <c r="O3" s="250"/>
    </row>
    <row r="4" spans="1:15" s="141" customFormat="1" ht="11.25">
      <c r="A4" s="100">
        <f aca="true" t="shared" si="2" ref="A4:A9">A3+1</f>
        <v>3</v>
      </c>
      <c r="B4" s="135" t="s">
        <v>39</v>
      </c>
      <c r="C4" s="136" t="s">
        <v>39</v>
      </c>
      <c r="D4" s="137" t="s">
        <v>88</v>
      </c>
      <c r="E4" s="135">
        <v>2</v>
      </c>
      <c r="F4" s="135" t="str">
        <f t="shared" si="0"/>
        <v>budynek gospodarczy</v>
      </c>
      <c r="G4" s="135" t="s">
        <v>10</v>
      </c>
      <c r="H4" s="138">
        <f>3*2*8</f>
        <v>48</v>
      </c>
      <c r="I4" s="139">
        <f t="shared" si="1"/>
        <v>0.8160000000000001</v>
      </c>
      <c r="J4" s="140" t="s">
        <v>23</v>
      </c>
      <c r="K4" s="246" t="s">
        <v>72</v>
      </c>
      <c r="L4" s="253"/>
      <c r="M4" s="250"/>
      <c r="N4" s="250"/>
      <c r="O4" s="250"/>
    </row>
    <row r="5" spans="1:15" s="141" customFormat="1" ht="11.25">
      <c r="A5" s="100">
        <f t="shared" si="2"/>
        <v>4</v>
      </c>
      <c r="B5" s="135" t="s">
        <v>39</v>
      </c>
      <c r="C5" s="136" t="s">
        <v>39</v>
      </c>
      <c r="D5" s="137" t="s">
        <v>195</v>
      </c>
      <c r="E5" s="135">
        <v>2</v>
      </c>
      <c r="F5" s="135" t="str">
        <f t="shared" si="0"/>
        <v>budynek gospodarczy</v>
      </c>
      <c r="G5" s="135" t="s">
        <v>10</v>
      </c>
      <c r="H5" s="138">
        <f>3*8</f>
        <v>24</v>
      </c>
      <c r="I5" s="139">
        <f t="shared" si="1"/>
        <v>0.40800000000000003</v>
      </c>
      <c r="J5" s="140" t="s">
        <v>23</v>
      </c>
      <c r="K5" s="246" t="s">
        <v>72</v>
      </c>
      <c r="L5" s="253"/>
      <c r="M5" s="250"/>
      <c r="N5" s="250"/>
      <c r="O5" s="250"/>
    </row>
    <row r="6" spans="1:15" s="141" customFormat="1" ht="15" customHeight="1">
      <c r="A6" s="100">
        <v>5</v>
      </c>
      <c r="B6" s="135" t="s">
        <v>39</v>
      </c>
      <c r="C6" s="136" t="s">
        <v>39</v>
      </c>
      <c r="D6" s="137" t="s">
        <v>28</v>
      </c>
      <c r="E6" s="135">
        <v>0</v>
      </c>
      <c r="F6" s="135" t="str">
        <f t="shared" si="0"/>
        <v>budynek mieszkalny</v>
      </c>
      <c r="G6" s="135" t="s">
        <v>10</v>
      </c>
      <c r="H6" s="138">
        <f>5*2*10</f>
        <v>100</v>
      </c>
      <c r="I6" s="139">
        <f t="shared" si="1"/>
        <v>1.7000000000000002</v>
      </c>
      <c r="J6" s="140" t="s">
        <v>24</v>
      </c>
      <c r="K6" s="246" t="s">
        <v>73</v>
      </c>
      <c r="L6" s="253"/>
      <c r="M6" s="250"/>
      <c r="N6" s="250"/>
      <c r="O6" s="250"/>
    </row>
    <row r="7" spans="1:15" s="141" customFormat="1" ht="11.25">
      <c r="A7" s="100">
        <v>6</v>
      </c>
      <c r="B7" s="135" t="s">
        <v>39</v>
      </c>
      <c r="C7" s="136" t="s">
        <v>39</v>
      </c>
      <c r="D7" s="137" t="s">
        <v>25</v>
      </c>
      <c r="E7" s="135">
        <v>2</v>
      </c>
      <c r="F7" s="135" t="str">
        <f>IF(E7=2,"budynek gospodarczy","budynek mieszkalny")</f>
        <v>budynek gospodarczy</v>
      </c>
      <c r="G7" s="135" t="s">
        <v>10</v>
      </c>
      <c r="H7" s="138">
        <f>3*4</f>
        <v>12</v>
      </c>
      <c r="I7" s="139">
        <f t="shared" si="1"/>
        <v>0.20400000000000001</v>
      </c>
      <c r="J7" s="140" t="s">
        <v>23</v>
      </c>
      <c r="K7" s="246" t="s">
        <v>72</v>
      </c>
      <c r="L7" s="253"/>
      <c r="M7" s="250"/>
      <c r="N7" s="250"/>
      <c r="O7" s="250"/>
    </row>
    <row r="8" spans="1:15" ht="11.25">
      <c r="A8" s="100">
        <f t="shared" si="2"/>
        <v>7</v>
      </c>
      <c r="B8" s="142" t="s">
        <v>39</v>
      </c>
      <c r="C8" s="143" t="s">
        <v>39</v>
      </c>
      <c r="D8" s="144" t="s">
        <v>196</v>
      </c>
      <c r="E8" s="142">
        <v>2</v>
      </c>
      <c r="F8" s="142" t="str">
        <f>IF(E8=2,"budynek gospodarczy","budynek mieszkalny")</f>
        <v>budynek gospodarczy</v>
      </c>
      <c r="G8" s="142" t="s">
        <v>10</v>
      </c>
      <c r="H8" s="145">
        <f>6*8</f>
        <v>48</v>
      </c>
      <c r="I8" s="139">
        <f t="shared" si="1"/>
        <v>0.8160000000000001</v>
      </c>
      <c r="J8" s="147" t="s">
        <v>23</v>
      </c>
      <c r="K8" s="247" t="s">
        <v>72</v>
      </c>
      <c r="L8" s="254"/>
      <c r="M8" s="251"/>
      <c r="N8" s="251"/>
      <c r="O8" s="251"/>
    </row>
    <row r="9" spans="1:15" ht="11.25">
      <c r="A9" s="100">
        <f t="shared" si="2"/>
        <v>8</v>
      </c>
      <c r="B9" s="142" t="s">
        <v>39</v>
      </c>
      <c r="C9" s="143" t="s">
        <v>39</v>
      </c>
      <c r="D9" s="144" t="s">
        <v>196</v>
      </c>
      <c r="E9" s="142">
        <v>2</v>
      </c>
      <c r="F9" s="142" t="str">
        <f>IF(E9=2,"budynek gospodarczy","budynek mieszkalny")</f>
        <v>budynek gospodarczy</v>
      </c>
      <c r="G9" s="142" t="s">
        <v>10</v>
      </c>
      <c r="H9" s="145">
        <f>2*3</f>
        <v>6</v>
      </c>
      <c r="I9" s="139">
        <f t="shared" si="1"/>
        <v>0.10200000000000001</v>
      </c>
      <c r="J9" s="147" t="s">
        <v>23</v>
      </c>
      <c r="K9" s="247" t="s">
        <v>72</v>
      </c>
      <c r="L9" s="254"/>
      <c r="M9" s="251"/>
      <c r="N9" s="251"/>
      <c r="O9" s="251"/>
    </row>
    <row r="10" spans="1:15" ht="12.75" customHeight="1">
      <c r="A10" s="100">
        <v>9</v>
      </c>
      <c r="B10" s="195" t="s">
        <v>39</v>
      </c>
      <c r="C10" s="196" t="s">
        <v>39</v>
      </c>
      <c r="D10" s="197" t="s">
        <v>224</v>
      </c>
      <c r="E10" s="142">
        <v>2</v>
      </c>
      <c r="F10" s="195" t="s">
        <v>200</v>
      </c>
      <c r="G10" s="195" t="s">
        <v>10</v>
      </c>
      <c r="H10" s="145">
        <v>12</v>
      </c>
      <c r="I10" s="139">
        <f t="shared" si="1"/>
        <v>0.20400000000000001</v>
      </c>
      <c r="J10" s="198" t="s">
        <v>23</v>
      </c>
      <c r="K10" s="248" t="s">
        <v>206</v>
      </c>
      <c r="L10" s="254"/>
      <c r="M10" s="251"/>
      <c r="N10" s="251"/>
      <c r="O10" s="251"/>
    </row>
    <row r="11" spans="1:15" s="141" customFormat="1" ht="11.25">
      <c r="A11" s="100">
        <v>10</v>
      </c>
      <c r="B11" s="135" t="s">
        <v>39</v>
      </c>
      <c r="C11" s="136" t="s">
        <v>39</v>
      </c>
      <c r="D11" s="137" t="s">
        <v>89</v>
      </c>
      <c r="E11" s="135">
        <v>2</v>
      </c>
      <c r="F11" s="135" t="str">
        <f t="shared" si="0"/>
        <v>budynek gospodarczy</v>
      </c>
      <c r="G11" s="135" t="s">
        <v>10</v>
      </c>
      <c r="H11" s="138">
        <f>5.5*2*10</f>
        <v>110</v>
      </c>
      <c r="I11" s="139">
        <f t="shared" si="1"/>
        <v>1.87</v>
      </c>
      <c r="J11" s="140" t="s">
        <v>26</v>
      </c>
      <c r="K11" s="246" t="s">
        <v>74</v>
      </c>
      <c r="L11" s="253"/>
      <c r="M11" s="250"/>
      <c r="N11" s="250"/>
      <c r="O11" s="250"/>
    </row>
    <row r="12" spans="1:15" s="141" customFormat="1" ht="16.5" customHeight="1">
      <c r="A12" s="100">
        <v>11</v>
      </c>
      <c r="B12" s="135" t="s">
        <v>39</v>
      </c>
      <c r="C12" s="136" t="s">
        <v>39</v>
      </c>
      <c r="D12" s="137" t="s">
        <v>90</v>
      </c>
      <c r="E12" s="135">
        <v>2</v>
      </c>
      <c r="F12" s="135" t="str">
        <f t="shared" si="0"/>
        <v>budynek gospodarczy</v>
      </c>
      <c r="G12" s="135" t="s">
        <v>10</v>
      </c>
      <c r="H12" s="138">
        <f>5*2*30</f>
        <v>300</v>
      </c>
      <c r="I12" s="139">
        <f t="shared" si="1"/>
        <v>5.1000000000000005</v>
      </c>
      <c r="J12" s="140" t="s">
        <v>26</v>
      </c>
      <c r="K12" s="246" t="s">
        <v>74</v>
      </c>
      <c r="L12" s="253"/>
      <c r="M12" s="250"/>
      <c r="N12" s="250"/>
      <c r="O12" s="250"/>
    </row>
    <row r="13" spans="9:11" ht="11.25">
      <c r="I13" s="151"/>
      <c r="J13" s="152"/>
      <c r="K13" s="152"/>
    </row>
    <row r="14" spans="7:11" ht="11.25">
      <c r="G14" s="148" t="s">
        <v>11</v>
      </c>
      <c r="H14" s="154">
        <f>SUM(H2:H12)</f>
        <v>990</v>
      </c>
      <c r="I14" s="155">
        <f>SUM(I2:I12)</f>
        <v>16.830000000000005</v>
      </c>
      <c r="J14" s="156"/>
      <c r="K14" s="156"/>
    </row>
    <row r="16" spans="6:14" ht="11.25">
      <c r="F16" s="157" t="s">
        <v>12</v>
      </c>
      <c r="G16" s="157" t="s">
        <v>13</v>
      </c>
      <c r="H16" s="157" t="s">
        <v>14</v>
      </c>
      <c r="I16" s="157" t="s">
        <v>15</v>
      </c>
      <c r="J16" s="256" t="s">
        <v>234</v>
      </c>
      <c r="K16" s="199" t="s">
        <v>230</v>
      </c>
      <c r="L16" s="199" t="s">
        <v>227</v>
      </c>
      <c r="M16" s="199" t="s">
        <v>228</v>
      </c>
      <c r="N16" s="199" t="s">
        <v>229</v>
      </c>
    </row>
    <row r="17" spans="6:14" ht="11.25">
      <c r="F17" s="142" t="s">
        <v>16</v>
      </c>
      <c r="G17" s="142">
        <v>1</v>
      </c>
      <c r="H17" s="145">
        <f>SUMIF(E$2:I12,E6,H$2:H12)</f>
        <v>100</v>
      </c>
      <c r="I17" s="146">
        <f>SUMIF(E$2:I12,E6,I$2:I12)</f>
        <v>1.7000000000000002</v>
      </c>
      <c r="J17" s="257"/>
      <c r="K17" s="159"/>
      <c r="L17" s="158"/>
      <c r="M17" s="160">
        <v>100</v>
      </c>
      <c r="N17" s="158"/>
    </row>
    <row r="18" spans="6:14" ht="11.25">
      <c r="F18" s="142" t="s">
        <v>17</v>
      </c>
      <c r="G18" s="142">
        <v>9</v>
      </c>
      <c r="H18" s="145">
        <f>SUMIF(E$2:I12,E3,H$2:H12)</f>
        <v>860</v>
      </c>
      <c r="I18" s="146">
        <f>SUMIF(E$2:I12,E3,I$2:I12)</f>
        <v>14.620000000000001</v>
      </c>
      <c r="J18" s="258"/>
      <c r="K18" s="142">
        <v>12</v>
      </c>
      <c r="L18" s="142">
        <v>138</v>
      </c>
      <c r="M18" s="153">
        <v>0</v>
      </c>
      <c r="N18" s="142">
        <v>710</v>
      </c>
    </row>
    <row r="19" spans="6:14" ht="11.25">
      <c r="F19" s="142" t="s">
        <v>18</v>
      </c>
      <c r="G19" s="142">
        <v>1</v>
      </c>
      <c r="H19" s="145">
        <v>30</v>
      </c>
      <c r="I19" s="146">
        <v>0.51</v>
      </c>
      <c r="J19" s="269">
        <v>325.294</v>
      </c>
      <c r="K19" s="158">
        <v>30</v>
      </c>
      <c r="L19" s="158"/>
      <c r="M19" s="161"/>
      <c r="N19" s="158"/>
    </row>
    <row r="20" spans="6:14" ht="11.25">
      <c r="F20" s="142" t="s">
        <v>10</v>
      </c>
      <c r="G20" s="142">
        <v>11</v>
      </c>
      <c r="H20" s="145">
        <f>SUMIF(G$2:I12,G3,H$2:H12)</f>
        <v>990</v>
      </c>
      <c r="I20" s="146">
        <v>16.83</v>
      </c>
      <c r="J20" s="269">
        <v>325.294</v>
      </c>
      <c r="K20" s="146">
        <v>42</v>
      </c>
      <c r="L20" s="146">
        <v>138</v>
      </c>
      <c r="M20" s="162">
        <v>100</v>
      </c>
      <c r="N20" s="146">
        <v>710</v>
      </c>
    </row>
    <row r="21" spans="6:14" ht="11.25">
      <c r="F21" s="142" t="s">
        <v>19</v>
      </c>
      <c r="G21" s="142"/>
      <c r="H21" s="145">
        <f>SUMIF(G$2:I13,#REF!,H$2:H13)</f>
        <v>0</v>
      </c>
      <c r="I21" s="146">
        <f>SUMIF(G$2:I13,#REF!,I$2:I13)</f>
        <v>0</v>
      </c>
      <c r="J21" s="257"/>
      <c r="K21" s="158"/>
      <c r="L21" s="158"/>
      <c r="M21" s="161"/>
      <c r="N21" s="158"/>
    </row>
    <row r="22" spans="6:14" ht="11.25">
      <c r="F22" s="142" t="s">
        <v>20</v>
      </c>
      <c r="G22" s="142"/>
      <c r="H22" s="145">
        <f>SUMIF(G$2:I14,#REF!,H$2:H14)</f>
        <v>0</v>
      </c>
      <c r="I22" s="146">
        <f>SUMIF(G$2:I14,#REF!,I$2:I14)</f>
        <v>0</v>
      </c>
      <c r="J22" s="257"/>
      <c r="K22" s="158"/>
      <c r="L22" s="158"/>
      <c r="M22" s="161"/>
      <c r="N22" s="158"/>
    </row>
    <row r="23" spans="6:14" ht="11.25">
      <c r="F23" s="142" t="s">
        <v>21</v>
      </c>
      <c r="G23" s="142"/>
      <c r="H23" s="163"/>
      <c r="I23" s="163"/>
      <c r="J23" s="257"/>
      <c r="K23" s="158"/>
      <c r="L23" s="158"/>
      <c r="M23" s="161"/>
      <c r="N23" s="158"/>
    </row>
  </sheetData>
  <sheetProtection/>
  <autoFilter ref="A1:O12"/>
  <printOptions/>
  <pageMargins left="0.31" right="0.27" top="1" bottom="1" header="0.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24"/>
  <sheetViews>
    <sheetView view="pageLayout" workbookViewId="0" topLeftCell="A2">
      <selection activeCell="AA2" sqref="AA1:AI16384"/>
    </sheetView>
  </sheetViews>
  <sheetFormatPr defaultColWidth="9.140625" defaultRowHeight="12.75" outlineLevelCol="1"/>
  <cols>
    <col min="1" max="1" width="4.57421875" style="23" customWidth="1"/>
    <col min="2" max="2" width="16.421875" style="45" customWidth="1"/>
    <col min="3" max="3" width="7.421875" style="23" customWidth="1"/>
    <col min="4" max="4" width="7.421875" style="30" customWidth="1"/>
    <col min="5" max="6" width="7.421875" style="23" customWidth="1"/>
    <col min="7" max="7" width="7.421875" style="30" customWidth="1"/>
    <col min="8" max="8" width="8.28125" style="30" customWidth="1"/>
    <col min="9" max="9" width="7.7109375" style="23" customWidth="1"/>
    <col min="10" max="10" width="7.7109375" style="31" customWidth="1"/>
    <col min="11" max="11" width="9.28125" style="43" customWidth="1" outlineLevel="1"/>
    <col min="12" max="14" width="9.28125" style="31" customWidth="1" outlineLevel="1"/>
    <col min="15" max="15" width="9.28125" style="30" customWidth="1" outlineLevel="1"/>
    <col min="16" max="16" width="9.28125" style="23" customWidth="1" outlineLevel="1"/>
    <col min="17" max="17" width="9.28125" style="30" customWidth="1" outlineLevel="1"/>
    <col min="18" max="18" width="9.28125" style="23" customWidth="1" outlineLevel="1"/>
    <col min="19" max="19" width="9.28125" style="30" customWidth="1" outlineLevel="1"/>
    <col min="20" max="20" width="9.28125" style="23" customWidth="1" outlineLevel="1"/>
    <col min="21" max="21" width="9.28125" style="30" customWidth="1" outlineLevel="1"/>
    <col min="22" max="22" width="9.28125" style="23" customWidth="1" outlineLevel="1"/>
    <col min="23" max="23" width="9.28125" style="30" customWidth="1" outlineLevel="1"/>
    <col min="24" max="24" width="9.28125" style="23" customWidth="1" outlineLevel="1"/>
    <col min="25" max="25" width="9.140625" style="30" customWidth="1" outlineLevel="1"/>
    <col min="26" max="26" width="9.140625" style="23" customWidth="1" outlineLevel="1"/>
    <col min="27" max="27" width="0" style="23" hidden="1" customWidth="1"/>
    <col min="28" max="30" width="7.00390625" style="23" hidden="1" customWidth="1" outlineLevel="1"/>
    <col min="31" max="31" width="7.8515625" style="23" hidden="1" customWidth="1" outlineLevel="1"/>
    <col min="32" max="32" width="8.7109375" style="23" hidden="1" customWidth="1" outlineLevel="1"/>
    <col min="33" max="33" width="7.8515625" style="23" hidden="1" customWidth="1" outlineLevel="1"/>
    <col min="34" max="34" width="6.7109375" style="23" hidden="1" customWidth="1"/>
    <col min="35" max="35" width="0" style="23" hidden="1" customWidth="1"/>
    <col min="36" max="16384" width="9.140625" style="23" customWidth="1"/>
  </cols>
  <sheetData>
    <row r="1" spans="1:26" ht="12.75" customHeight="1">
      <c r="A1" s="270" t="s">
        <v>0</v>
      </c>
      <c r="B1" s="271" t="s">
        <v>1</v>
      </c>
      <c r="C1" s="270" t="s">
        <v>16</v>
      </c>
      <c r="D1" s="270"/>
      <c r="E1" s="270"/>
      <c r="F1" s="270" t="s">
        <v>17</v>
      </c>
      <c r="G1" s="270"/>
      <c r="H1" s="270"/>
      <c r="I1" s="270" t="s">
        <v>75</v>
      </c>
      <c r="J1" s="270"/>
      <c r="K1" s="270" t="s">
        <v>9</v>
      </c>
      <c r="L1" s="270"/>
      <c r="M1" s="270"/>
      <c r="N1" s="270"/>
      <c r="O1" s="270"/>
      <c r="P1" s="270"/>
      <c r="Q1" s="270"/>
      <c r="R1" s="270"/>
      <c r="S1" s="270"/>
      <c r="T1" s="270"/>
      <c r="U1" s="276" t="s">
        <v>76</v>
      </c>
      <c r="V1" s="277"/>
      <c r="W1" s="277"/>
      <c r="X1" s="277"/>
      <c r="Y1" s="277"/>
      <c r="Z1" s="278"/>
    </row>
    <row r="2" spans="1:33" s="26" customFormat="1" ht="12.75" customHeight="1">
      <c r="A2" s="270"/>
      <c r="B2" s="271"/>
      <c r="C2" s="270"/>
      <c r="D2" s="270"/>
      <c r="E2" s="270"/>
      <c r="F2" s="270"/>
      <c r="G2" s="270"/>
      <c r="H2" s="270"/>
      <c r="I2" s="270"/>
      <c r="J2" s="270"/>
      <c r="K2" s="273" t="s">
        <v>231</v>
      </c>
      <c r="L2" s="273"/>
      <c r="M2" s="274" t="s">
        <v>225</v>
      </c>
      <c r="N2" s="274"/>
      <c r="O2" s="274" t="s">
        <v>57</v>
      </c>
      <c r="P2" s="274"/>
      <c r="Q2" s="274" t="s">
        <v>56</v>
      </c>
      <c r="R2" s="274"/>
      <c r="S2" s="274" t="s">
        <v>55</v>
      </c>
      <c r="T2" s="274"/>
      <c r="U2" s="274" t="s">
        <v>77</v>
      </c>
      <c r="V2" s="274"/>
      <c r="W2" s="274" t="s">
        <v>78</v>
      </c>
      <c r="X2" s="274"/>
      <c r="Y2" s="274" t="s">
        <v>79</v>
      </c>
      <c r="Z2" s="274"/>
      <c r="AB2" s="275" t="s">
        <v>14</v>
      </c>
      <c r="AC2" s="275"/>
      <c r="AD2" s="275"/>
      <c r="AE2" s="275" t="s">
        <v>15</v>
      </c>
      <c r="AF2" s="275"/>
      <c r="AG2" s="275"/>
    </row>
    <row r="3" spans="1:32" s="26" customFormat="1" ht="11.25">
      <c r="A3" s="270"/>
      <c r="B3" s="271"/>
      <c r="C3" s="25" t="s">
        <v>13</v>
      </c>
      <c r="D3" s="27" t="s">
        <v>80</v>
      </c>
      <c r="E3" s="25" t="s">
        <v>81</v>
      </c>
      <c r="F3" s="25" t="s">
        <v>13</v>
      </c>
      <c r="G3" s="27" t="s">
        <v>80</v>
      </c>
      <c r="H3" s="27" t="s">
        <v>81</v>
      </c>
      <c r="I3" s="25" t="s">
        <v>13</v>
      </c>
      <c r="J3" s="24" t="s">
        <v>81</v>
      </c>
      <c r="K3" s="261" t="s">
        <v>80</v>
      </c>
      <c r="L3" s="262" t="s">
        <v>81</v>
      </c>
      <c r="M3" s="27" t="s">
        <v>80</v>
      </c>
      <c r="N3" s="25" t="s">
        <v>81</v>
      </c>
      <c r="O3" s="27" t="s">
        <v>80</v>
      </c>
      <c r="P3" s="25" t="s">
        <v>81</v>
      </c>
      <c r="Q3" s="27" t="s">
        <v>80</v>
      </c>
      <c r="R3" s="25" t="s">
        <v>81</v>
      </c>
      <c r="S3" s="27" t="s">
        <v>80</v>
      </c>
      <c r="T3" s="25" t="s">
        <v>81</v>
      </c>
      <c r="U3" s="27" t="s">
        <v>80</v>
      </c>
      <c r="V3" s="25" t="s">
        <v>81</v>
      </c>
      <c r="W3" s="27" t="s">
        <v>80</v>
      </c>
      <c r="X3" s="25" t="s">
        <v>81</v>
      </c>
      <c r="Y3" s="27" t="s">
        <v>80</v>
      </c>
      <c r="Z3" s="25" t="s">
        <v>81</v>
      </c>
      <c r="AF3" s="46"/>
    </row>
    <row r="4" spans="1:35" ht="11.25">
      <c r="A4" s="28">
        <v>1</v>
      </c>
      <c r="B4" s="22" t="s">
        <v>45</v>
      </c>
      <c r="C4" s="28">
        <f>'Bielkowo (12)'!$G$33</f>
        <v>3</v>
      </c>
      <c r="D4" s="29">
        <f>'Bielkowo (12)'!$H$33</f>
        <v>208</v>
      </c>
      <c r="E4" s="69">
        <f>D4*0.017</f>
        <v>3.5360000000000005</v>
      </c>
      <c r="F4" s="28">
        <f>'Bielkowo (12)'!$G$34</f>
        <v>19</v>
      </c>
      <c r="G4" s="29">
        <f>'Bielkowo (12)'!$H$34</f>
        <v>2488</v>
      </c>
      <c r="H4" s="69">
        <f>G4*0.017</f>
        <v>42.29600000000001</v>
      </c>
      <c r="I4" s="28">
        <f>'Bielkowo (12)'!G35</f>
        <v>1</v>
      </c>
      <c r="J4" s="69">
        <f>'Bielkowo (12)'!I35</f>
        <v>3.06</v>
      </c>
      <c r="K4" s="263">
        <f>SUM('Bielkowo (12)'!J33:J35)</f>
        <v>827.647</v>
      </c>
      <c r="L4" s="264">
        <f>K4*0.017</f>
        <v>14.069999000000001</v>
      </c>
      <c r="M4" s="166">
        <f>SUM('Bielkowo (12)'!K33:K35)</f>
        <v>553</v>
      </c>
      <c r="N4" s="165">
        <f>M4*0.017</f>
        <v>9.401</v>
      </c>
      <c r="O4" s="166">
        <f>SUM('Bielkowo (12)'!L33:L35)</f>
        <v>104</v>
      </c>
      <c r="P4" s="165">
        <f>O4*0.017</f>
        <v>1.7680000000000002</v>
      </c>
      <c r="Q4" s="166">
        <f>SUM('Bielkowo (12)'!M33:M35)</f>
        <v>459</v>
      </c>
      <c r="R4" s="165">
        <f>Q4*0.017</f>
        <v>7.803000000000001</v>
      </c>
      <c r="S4" s="166">
        <f>SUM('Bielkowo (12)'!N33:N35)</f>
        <v>1760</v>
      </c>
      <c r="T4" s="165">
        <f>S4*0.017</f>
        <v>29.92</v>
      </c>
      <c r="U4" s="166">
        <f>'Bielkowo (12)'!H36</f>
        <v>2876</v>
      </c>
      <c r="V4" s="165">
        <f>U4*0.017</f>
        <v>48.892</v>
      </c>
      <c r="W4" s="29">
        <v>0</v>
      </c>
      <c r="X4" s="29">
        <v>0</v>
      </c>
      <c r="Y4" s="29">
        <v>0</v>
      </c>
      <c r="Z4" s="29">
        <v>0</v>
      </c>
      <c r="AA4" s="23">
        <f>C4+F4+I4</f>
        <v>23</v>
      </c>
      <c r="AB4" s="30">
        <f>D4+G4</f>
        <v>2696</v>
      </c>
      <c r="AC4" s="30">
        <f>K4+O4+Q4+S4</f>
        <v>3150.647</v>
      </c>
      <c r="AD4" s="30">
        <f>U4+W4+Y4</f>
        <v>2876</v>
      </c>
      <c r="AE4" s="68">
        <f aca="true" t="shared" si="0" ref="AE4:AE18">E4+H4+J4</f>
        <v>48.89200000000001</v>
      </c>
      <c r="AF4" s="68">
        <f aca="true" t="shared" si="1" ref="AF4:AF18">L4+P4+R4+T4</f>
        <v>53.560999</v>
      </c>
      <c r="AG4" s="68">
        <f aca="true" t="shared" si="2" ref="AG4:AG18">V4+X4+Z4</f>
        <v>48.892</v>
      </c>
      <c r="AI4" s="23">
        <f>U4-D4-G4-J4/0.017</f>
        <v>0</v>
      </c>
    </row>
    <row r="5" spans="1:35" s="36" customFormat="1" ht="11.25">
      <c r="A5" s="32">
        <f aca="true" t="shared" si="3" ref="A5:A18">A4+1</f>
        <v>2</v>
      </c>
      <c r="B5" s="33" t="s">
        <v>29</v>
      </c>
      <c r="C5" s="34">
        <f>'Cisewo (2)'!$G$20</f>
        <v>2</v>
      </c>
      <c r="D5" s="35">
        <f>'Cisewo (2)'!$H$20</f>
        <v>276</v>
      </c>
      <c r="E5" s="69">
        <f aca="true" t="shared" si="4" ref="E5:E18">D5*0.017</f>
        <v>4.692</v>
      </c>
      <c r="F5" s="34">
        <f>'Cisewo (2)'!$G$21</f>
        <v>12</v>
      </c>
      <c r="G5" s="35">
        <f>'Cisewo (2)'!$H$21</f>
        <v>1092</v>
      </c>
      <c r="H5" s="69">
        <f aca="true" t="shared" si="5" ref="H5:H18">G5*0.017</f>
        <v>18.564</v>
      </c>
      <c r="I5" s="34">
        <f>'Cisewo (2)'!G22</f>
        <v>0</v>
      </c>
      <c r="J5" s="70">
        <f>'Cisewo (2)'!I22</f>
        <v>0</v>
      </c>
      <c r="K5" s="263">
        <f>SUM('Cisewo (2)'!J20:J22)</f>
        <v>0</v>
      </c>
      <c r="L5" s="264">
        <f aca="true" t="shared" si="6" ref="L5:L18">K5*0.017</f>
        <v>0</v>
      </c>
      <c r="M5" s="166">
        <f>SUM('Cisewo (2)'!K20:K22)</f>
        <v>50</v>
      </c>
      <c r="N5" s="165">
        <f aca="true" t="shared" si="7" ref="N5:N18">M5*0.017</f>
        <v>0.8500000000000001</v>
      </c>
      <c r="O5" s="166">
        <f>SUM('Cisewo (2)'!L20:L22)</f>
        <v>152</v>
      </c>
      <c r="P5" s="165">
        <f aca="true" t="shared" si="8" ref="P5:P18">O5*0.017</f>
        <v>2.584</v>
      </c>
      <c r="Q5" s="166">
        <f>SUM('Cisewo (2)'!M20:M22)</f>
        <v>276</v>
      </c>
      <c r="R5" s="165">
        <f aca="true" t="shared" si="9" ref="R5:R18">Q5*0.017</f>
        <v>4.692</v>
      </c>
      <c r="S5" s="166">
        <f>SUM('Cisewo (2)'!N20:N22)</f>
        <v>890</v>
      </c>
      <c r="T5" s="165">
        <f aca="true" t="shared" si="10" ref="T5:T18">S5*0.017</f>
        <v>15.13</v>
      </c>
      <c r="U5" s="166">
        <f>'Cisewo (2)'!H23</f>
        <v>1368</v>
      </c>
      <c r="V5" s="165">
        <f aca="true" t="shared" si="11" ref="V5:V18">U5*0.017</f>
        <v>23.256</v>
      </c>
      <c r="W5" s="35">
        <v>0</v>
      </c>
      <c r="X5" s="35">
        <v>0</v>
      </c>
      <c r="Y5" s="35">
        <v>0</v>
      </c>
      <c r="Z5" s="35">
        <v>0</v>
      </c>
      <c r="AA5" s="23">
        <f aca="true" t="shared" si="12" ref="AA5:AA19">C5+F5+I5</f>
        <v>14</v>
      </c>
      <c r="AB5" s="30">
        <f aca="true" t="shared" si="13" ref="AB5:AB18">D5+G5</f>
        <v>1368</v>
      </c>
      <c r="AC5" s="30">
        <f aca="true" t="shared" si="14" ref="AC5:AC18">K5+O5+Q5+S5</f>
        <v>1318</v>
      </c>
      <c r="AD5" s="30">
        <f aca="true" t="shared" si="15" ref="AD5:AD18">U5+W5+Y5</f>
        <v>1368</v>
      </c>
      <c r="AE5" s="68">
        <f t="shared" si="0"/>
        <v>23.256</v>
      </c>
      <c r="AF5" s="68">
        <f t="shared" si="1"/>
        <v>22.406</v>
      </c>
      <c r="AG5" s="68">
        <f t="shared" si="2"/>
        <v>23.256</v>
      </c>
      <c r="AI5" s="23">
        <f aca="true" t="shared" si="16" ref="AI5:AI18">U5-D5-G5-J5/0.017</f>
        <v>0</v>
      </c>
    </row>
    <row r="6" spans="1:35" s="36" customFormat="1" ht="11.25">
      <c r="A6" s="32">
        <f t="shared" si="3"/>
        <v>3</v>
      </c>
      <c r="B6" s="33" t="s">
        <v>38</v>
      </c>
      <c r="C6" s="34">
        <f>'Jęczydół (8)'!$G$13</f>
        <v>1</v>
      </c>
      <c r="D6" s="35">
        <f>'Jęczydół (8)'!$H$13</f>
        <v>64</v>
      </c>
      <c r="E6" s="69">
        <f t="shared" si="4"/>
        <v>1.088</v>
      </c>
      <c r="F6" s="34">
        <f>'Jęczydół (8)'!$G$14</f>
        <v>2</v>
      </c>
      <c r="G6" s="35">
        <f>'Jęczydół (8)'!$H$14</f>
        <v>36</v>
      </c>
      <c r="H6" s="69">
        <f t="shared" si="5"/>
        <v>0.6120000000000001</v>
      </c>
      <c r="I6" s="34">
        <f>'Jęczydół (8)'!G15</f>
        <v>4</v>
      </c>
      <c r="J6" s="70">
        <f>'Jęczydół (8)'!I15</f>
        <v>9.826</v>
      </c>
      <c r="K6" s="263">
        <f>SUM('Jęczydół (8)'!J13:J15)</f>
        <v>0</v>
      </c>
      <c r="L6" s="264">
        <f t="shared" si="6"/>
        <v>0</v>
      </c>
      <c r="M6" s="166">
        <f>SUM('Jęczydół (8)'!K13:K15)</f>
        <v>578</v>
      </c>
      <c r="N6" s="165">
        <f t="shared" si="7"/>
        <v>9.826</v>
      </c>
      <c r="O6" s="166">
        <f>SUM('Jęczydół (8)'!L13:L15)</f>
        <v>36</v>
      </c>
      <c r="P6" s="165">
        <f t="shared" si="8"/>
        <v>0.6120000000000001</v>
      </c>
      <c r="Q6" s="166">
        <f>SUM('Jęczydół (8)'!M13:M15)</f>
        <v>64</v>
      </c>
      <c r="R6" s="165">
        <f t="shared" si="9"/>
        <v>1.088</v>
      </c>
      <c r="S6" s="166">
        <f>SUM('Jęczydół (8)'!N13:N15)</f>
        <v>0</v>
      </c>
      <c r="T6" s="165">
        <f t="shared" si="10"/>
        <v>0</v>
      </c>
      <c r="U6" s="166">
        <f>'Jęczydół (8)'!$H$16</f>
        <v>678</v>
      </c>
      <c r="V6" s="165">
        <f t="shared" si="11"/>
        <v>11.526000000000002</v>
      </c>
      <c r="W6" s="35">
        <v>0</v>
      </c>
      <c r="X6" s="35">
        <v>0</v>
      </c>
      <c r="Y6" s="35">
        <v>0</v>
      </c>
      <c r="Z6" s="35">
        <v>0</v>
      </c>
      <c r="AA6" s="23">
        <f t="shared" si="12"/>
        <v>7</v>
      </c>
      <c r="AB6" s="30">
        <f t="shared" si="13"/>
        <v>100</v>
      </c>
      <c r="AC6" s="30">
        <f t="shared" si="14"/>
        <v>100</v>
      </c>
      <c r="AD6" s="30">
        <f t="shared" si="15"/>
        <v>678</v>
      </c>
      <c r="AE6" s="68">
        <f t="shared" si="0"/>
        <v>11.526</v>
      </c>
      <c r="AF6" s="68">
        <f t="shared" si="1"/>
        <v>1.7000000000000002</v>
      </c>
      <c r="AG6" s="68">
        <f t="shared" si="2"/>
        <v>11.526000000000002</v>
      </c>
      <c r="AI6" s="23">
        <f t="shared" si="16"/>
        <v>0</v>
      </c>
    </row>
    <row r="7" spans="1:35" s="36" customFormat="1" ht="11.25">
      <c r="A7" s="32">
        <f t="shared" si="3"/>
        <v>4</v>
      </c>
      <c r="B7" s="33" t="s">
        <v>44</v>
      </c>
      <c r="C7" s="34">
        <f>'Kałęga (5)'!$G$16</f>
        <v>1</v>
      </c>
      <c r="D7" s="35">
        <f>'Kałęga (5)'!$H$16</f>
        <v>120</v>
      </c>
      <c r="E7" s="69">
        <f t="shared" si="4"/>
        <v>2.04</v>
      </c>
      <c r="F7" s="34">
        <f>'Kałęga (5)'!$G$17</f>
        <v>9</v>
      </c>
      <c r="G7" s="35">
        <f>'Kałęga (5)'!$H$17</f>
        <v>595</v>
      </c>
      <c r="H7" s="69">
        <f t="shared" si="5"/>
        <v>10.115</v>
      </c>
      <c r="I7" s="34">
        <v>0</v>
      </c>
      <c r="J7" s="70">
        <f>'Kałęga (5)'!I18</f>
        <v>0</v>
      </c>
      <c r="K7" s="263">
        <f>SUM('Kałęga (5)'!J16:J18)</f>
        <v>0</v>
      </c>
      <c r="L7" s="264">
        <f t="shared" si="6"/>
        <v>0</v>
      </c>
      <c r="M7" s="166">
        <f>SUM('Kałęga (5)'!K16:K18)</f>
        <v>0</v>
      </c>
      <c r="N7" s="165">
        <f t="shared" si="7"/>
        <v>0</v>
      </c>
      <c r="O7" s="166">
        <f>SUM('Kałęga (5)'!L16:L18)</f>
        <v>113</v>
      </c>
      <c r="P7" s="165">
        <f t="shared" si="8"/>
        <v>1.921</v>
      </c>
      <c r="Q7" s="166">
        <f>SUM('Kałęga (5)'!M16:M18)</f>
        <v>120</v>
      </c>
      <c r="R7" s="165">
        <f t="shared" si="9"/>
        <v>2.04</v>
      </c>
      <c r="S7" s="166">
        <f>SUM('Kałęga (5)'!N16:N18)</f>
        <v>482</v>
      </c>
      <c r="T7" s="165">
        <f t="shared" si="10"/>
        <v>8.194</v>
      </c>
      <c r="U7" s="166">
        <f>'Kałęga (5)'!$H$19</f>
        <v>715</v>
      </c>
      <c r="V7" s="165">
        <f t="shared" si="11"/>
        <v>12.155000000000001</v>
      </c>
      <c r="W7" s="35">
        <v>0</v>
      </c>
      <c r="X7" s="35">
        <v>0</v>
      </c>
      <c r="Y7" s="35">
        <v>0</v>
      </c>
      <c r="Z7" s="35">
        <v>0</v>
      </c>
      <c r="AA7" s="23">
        <f t="shared" si="12"/>
        <v>10</v>
      </c>
      <c r="AB7" s="30">
        <f t="shared" si="13"/>
        <v>715</v>
      </c>
      <c r="AC7" s="30">
        <f t="shared" si="14"/>
        <v>715</v>
      </c>
      <c r="AD7" s="30">
        <f t="shared" si="15"/>
        <v>715</v>
      </c>
      <c r="AE7" s="68">
        <f t="shared" si="0"/>
        <v>12.155000000000001</v>
      </c>
      <c r="AF7" s="68">
        <f t="shared" si="1"/>
        <v>12.155000000000001</v>
      </c>
      <c r="AG7" s="68">
        <f t="shared" si="2"/>
        <v>12.155000000000001</v>
      </c>
      <c r="AI7" s="23">
        <f t="shared" si="16"/>
        <v>0</v>
      </c>
    </row>
    <row r="8" spans="1:35" s="38" customFormat="1" ht="11.25">
      <c r="A8" s="32">
        <f t="shared" si="3"/>
        <v>5</v>
      </c>
      <c r="B8" s="33" t="s">
        <v>41</v>
      </c>
      <c r="C8" s="32">
        <f>'Kobylanka (11)'!$G$37</f>
        <v>1</v>
      </c>
      <c r="D8" s="37">
        <f>'Kobylanka (11)'!$H$37</f>
        <v>324</v>
      </c>
      <c r="E8" s="69">
        <f t="shared" si="4"/>
        <v>5.508</v>
      </c>
      <c r="F8" s="32">
        <f>'Kobylanka (11)'!$G$38</f>
        <v>26</v>
      </c>
      <c r="G8" s="37">
        <f>'Kobylanka (11)'!$H$38</f>
        <v>1952</v>
      </c>
      <c r="H8" s="69">
        <f t="shared" si="5"/>
        <v>33.184000000000005</v>
      </c>
      <c r="I8" s="32">
        <f>'Kobylanka (11)'!$G$39</f>
        <v>3</v>
      </c>
      <c r="J8" s="71">
        <f>'Kobylanka (11)'!I39</f>
        <v>9.299</v>
      </c>
      <c r="K8" s="265">
        <f>SUM('Kobylanka (11)'!J37:J39)</f>
        <v>1433.529</v>
      </c>
      <c r="L8" s="264">
        <f t="shared" si="6"/>
        <v>24.369993</v>
      </c>
      <c r="M8" s="167">
        <f>SUM('Kobylanka (11)'!K37:K39)</f>
        <v>1053</v>
      </c>
      <c r="N8" s="165">
        <f t="shared" si="7"/>
        <v>17.901</v>
      </c>
      <c r="O8" s="167">
        <f>SUM('Kobylanka (11)'!L37:L39)</f>
        <v>328</v>
      </c>
      <c r="P8" s="165">
        <f t="shared" si="8"/>
        <v>5.5760000000000005</v>
      </c>
      <c r="Q8" s="167">
        <f>SUM('Kobylanka (11)'!M37:M39)</f>
        <v>324</v>
      </c>
      <c r="R8" s="165">
        <f t="shared" si="9"/>
        <v>5.508</v>
      </c>
      <c r="S8" s="167">
        <f>SUM('Kobylanka (11)'!N37:N39)</f>
        <v>1118</v>
      </c>
      <c r="T8" s="165">
        <f t="shared" si="10"/>
        <v>19.006</v>
      </c>
      <c r="U8" s="167">
        <f>'Kobylanka (11)'!$H$40</f>
        <v>2823</v>
      </c>
      <c r="V8" s="165">
        <f t="shared" si="11"/>
        <v>47.99100000000001</v>
      </c>
      <c r="W8" s="37">
        <v>0</v>
      </c>
      <c r="X8" s="37">
        <v>0</v>
      </c>
      <c r="Y8" s="37">
        <v>0</v>
      </c>
      <c r="Z8" s="37">
        <v>0</v>
      </c>
      <c r="AA8" s="23">
        <f t="shared" si="12"/>
        <v>30</v>
      </c>
      <c r="AB8" s="30">
        <f t="shared" si="13"/>
        <v>2276</v>
      </c>
      <c r="AC8" s="30">
        <f t="shared" si="14"/>
        <v>3203.529</v>
      </c>
      <c r="AD8" s="30">
        <f t="shared" si="15"/>
        <v>2823</v>
      </c>
      <c r="AE8" s="68">
        <f t="shared" si="0"/>
        <v>47.99100000000001</v>
      </c>
      <c r="AF8" s="68">
        <f t="shared" si="1"/>
        <v>54.459993000000004</v>
      </c>
      <c r="AG8" s="68">
        <f t="shared" si="2"/>
        <v>47.99100000000001</v>
      </c>
      <c r="AI8" s="23">
        <f t="shared" si="16"/>
        <v>0</v>
      </c>
    </row>
    <row r="9" spans="1:35" ht="12.75" customHeight="1">
      <c r="A9" s="39">
        <f t="shared" si="3"/>
        <v>6</v>
      </c>
      <c r="B9" s="22" t="s">
        <v>22</v>
      </c>
      <c r="C9" s="28">
        <f>' Kunowo (1)'!$G$70</f>
        <v>4</v>
      </c>
      <c r="D9" s="29">
        <f>' Kunowo (1)'!$H$70</f>
        <v>600</v>
      </c>
      <c r="E9" s="69">
        <f t="shared" si="4"/>
        <v>10.200000000000001</v>
      </c>
      <c r="F9" s="28">
        <f>' Kunowo (1)'!$G$71</f>
        <v>59</v>
      </c>
      <c r="G9" s="29">
        <f>' Kunowo (1)'!$H$71</f>
        <v>5867.5</v>
      </c>
      <c r="H9" s="69">
        <f t="shared" si="5"/>
        <v>99.7475</v>
      </c>
      <c r="I9" s="40">
        <f>' Kunowo (1)'!$G$72</f>
        <v>1</v>
      </c>
      <c r="J9" s="73">
        <f>' Kunowo (1)'!$I$72</f>
        <v>0.289</v>
      </c>
      <c r="K9" s="263">
        <f>SUM(' Kunowo (1)'!J70:J72)</f>
        <v>1117.059</v>
      </c>
      <c r="L9" s="264">
        <f t="shared" si="6"/>
        <v>18.990003</v>
      </c>
      <c r="M9" s="166">
        <f>SUM(' Kunowo (1)'!K70:K72)</f>
        <v>1107</v>
      </c>
      <c r="N9" s="165">
        <f t="shared" si="7"/>
        <v>18.819000000000003</v>
      </c>
      <c r="O9" s="166">
        <f>SUM(' Kunowo (1)'!L70:L72)</f>
        <v>593.5</v>
      </c>
      <c r="P9" s="165">
        <f t="shared" si="8"/>
        <v>10.089500000000001</v>
      </c>
      <c r="Q9" s="166">
        <f>SUM(' Kunowo (1)'!M70:M72)</f>
        <v>600</v>
      </c>
      <c r="R9" s="165">
        <f t="shared" si="9"/>
        <v>10.200000000000001</v>
      </c>
      <c r="S9" s="166">
        <f>SUM(' Kunowo (1)'!N70:N72)</f>
        <v>4184</v>
      </c>
      <c r="T9" s="165">
        <f t="shared" si="10"/>
        <v>71.128</v>
      </c>
      <c r="U9" s="166">
        <f>' Kunowo (1)'!$H$73</f>
        <v>6484.5</v>
      </c>
      <c r="V9" s="165">
        <f t="shared" si="11"/>
        <v>110.2365</v>
      </c>
      <c r="W9" s="29">
        <v>0</v>
      </c>
      <c r="X9" s="29">
        <v>0</v>
      </c>
      <c r="Y9" s="29">
        <v>0</v>
      </c>
      <c r="Z9" s="29">
        <v>0</v>
      </c>
      <c r="AA9" s="23">
        <f t="shared" si="12"/>
        <v>64</v>
      </c>
      <c r="AB9" s="30">
        <f t="shared" si="13"/>
        <v>6467.5</v>
      </c>
      <c r="AC9" s="30">
        <f t="shared" si="14"/>
        <v>6494.559</v>
      </c>
      <c r="AD9" s="30">
        <f>U9+W9+Y9</f>
        <v>6484.5</v>
      </c>
      <c r="AE9" s="68">
        <f t="shared" si="0"/>
        <v>110.2365</v>
      </c>
      <c r="AF9" s="68">
        <f t="shared" si="1"/>
        <v>110.407503</v>
      </c>
      <c r="AG9" s="68">
        <f>V9+X9+Z9</f>
        <v>110.2365</v>
      </c>
      <c r="AI9" s="23">
        <f t="shared" si="16"/>
        <v>0</v>
      </c>
    </row>
    <row r="10" spans="1:35" ht="11.25">
      <c r="A10" s="39">
        <f t="shared" si="3"/>
        <v>7</v>
      </c>
      <c r="B10" s="22" t="s">
        <v>54</v>
      </c>
      <c r="C10" s="28">
        <f>'Nowa Kobylanka (14)'!G12</f>
        <v>0</v>
      </c>
      <c r="D10" s="29">
        <f>'Nowa Kobylanka (14)'!H12</f>
        <v>0</v>
      </c>
      <c r="E10" s="69">
        <f>D10*0.017</f>
        <v>0</v>
      </c>
      <c r="F10" s="28">
        <f>'Nowa Kobylanka (14)'!$G$13</f>
        <v>6</v>
      </c>
      <c r="G10" s="29">
        <f>'Nowa Kobylanka (14)'!$H$13</f>
        <v>648</v>
      </c>
      <c r="H10" s="69">
        <f t="shared" si="5"/>
        <v>11.016</v>
      </c>
      <c r="I10" s="28">
        <f>'Nowa Kobylanka (14)'!$G$14</f>
        <v>0</v>
      </c>
      <c r="J10" s="69">
        <f>'Nowa Kobylanka (14)'!$I$14</f>
        <v>0</v>
      </c>
      <c r="K10" s="263">
        <f>SUM('Nowa Kobylanka (14)'!J12:J14)</f>
        <v>7.647</v>
      </c>
      <c r="L10" s="264">
        <f t="shared" si="6"/>
        <v>0.129999</v>
      </c>
      <c r="M10" s="166">
        <f>SUM('Nowa Kobylanka (14)'!K12:K14)</f>
        <v>0</v>
      </c>
      <c r="N10" s="165">
        <f t="shared" si="7"/>
        <v>0</v>
      </c>
      <c r="O10" s="166">
        <f>SUM('Nowa Kobylanka (14)'!L12:L14)</f>
        <v>48</v>
      </c>
      <c r="P10" s="165">
        <f t="shared" si="8"/>
        <v>0.8160000000000001</v>
      </c>
      <c r="Q10" s="166">
        <f>SUM('Nowa Kobylanka (14)'!M12:M14)</f>
        <v>0</v>
      </c>
      <c r="R10" s="165">
        <f t="shared" si="9"/>
        <v>0</v>
      </c>
      <c r="S10" s="166">
        <f>SUM('Nowa Kobylanka (14)'!N12:N14)</f>
        <v>600</v>
      </c>
      <c r="T10" s="165">
        <f t="shared" si="10"/>
        <v>10.200000000000001</v>
      </c>
      <c r="U10" s="166">
        <f>'Nowa Kobylanka (14)'!$H$15</f>
        <v>648</v>
      </c>
      <c r="V10" s="165">
        <f t="shared" si="11"/>
        <v>11.016</v>
      </c>
      <c r="W10" s="29">
        <v>0</v>
      </c>
      <c r="X10" s="29">
        <v>0</v>
      </c>
      <c r="Y10" s="29">
        <v>0</v>
      </c>
      <c r="Z10" s="29">
        <v>0</v>
      </c>
      <c r="AA10" s="23">
        <f t="shared" si="12"/>
        <v>6</v>
      </c>
      <c r="AB10" s="30">
        <f t="shared" si="13"/>
        <v>648</v>
      </c>
      <c r="AC10" s="30">
        <f t="shared" si="14"/>
        <v>655.647</v>
      </c>
      <c r="AD10" s="30">
        <f t="shared" si="15"/>
        <v>648</v>
      </c>
      <c r="AE10" s="68">
        <f t="shared" si="0"/>
        <v>11.016</v>
      </c>
      <c r="AF10" s="68">
        <f t="shared" si="1"/>
        <v>11.145999000000002</v>
      </c>
      <c r="AG10" s="68">
        <f t="shared" si="2"/>
        <v>11.016</v>
      </c>
      <c r="AI10" s="23">
        <f t="shared" si="16"/>
        <v>0</v>
      </c>
    </row>
    <row r="11" spans="1:35" ht="11.25">
      <c r="A11" s="39">
        <f t="shared" si="3"/>
        <v>8</v>
      </c>
      <c r="B11" s="22" t="s">
        <v>35</v>
      </c>
      <c r="C11" s="28">
        <f>'Niedźwiedź (5)'!G21</f>
        <v>0</v>
      </c>
      <c r="D11" s="29">
        <f>'Niedźwiedź (5)'!H21</f>
        <v>0</v>
      </c>
      <c r="E11" s="69">
        <f t="shared" si="4"/>
        <v>0</v>
      </c>
      <c r="F11" s="28">
        <f>'Niedźwiedź (5)'!$G$22</f>
        <v>14</v>
      </c>
      <c r="G11" s="29">
        <f>'Niedźwiedź (5)'!$H$22</f>
        <v>1334</v>
      </c>
      <c r="H11" s="69">
        <f t="shared" si="5"/>
        <v>22.678</v>
      </c>
      <c r="I11" s="28">
        <f>'Niedźwiedź (5)'!$G$23</f>
        <v>1</v>
      </c>
      <c r="J11" s="69">
        <f>'Niedźwiedź (5)'!$I$23</f>
        <v>3.4</v>
      </c>
      <c r="K11" s="263">
        <f>SUM('Niedźwiedź (5)'!J21:J23)</f>
        <v>1207.059</v>
      </c>
      <c r="L11" s="264">
        <f t="shared" si="6"/>
        <v>20.520003000000003</v>
      </c>
      <c r="M11" s="166">
        <f>SUM('Niedźwiedź (5)'!K21:K23)</f>
        <v>200</v>
      </c>
      <c r="N11" s="165">
        <f t="shared" si="7"/>
        <v>3.4000000000000004</v>
      </c>
      <c r="O11" s="166">
        <f>SUM('Niedźwiedź (5)'!L21:L23)</f>
        <v>174</v>
      </c>
      <c r="P11" s="165">
        <f t="shared" si="8"/>
        <v>2.958</v>
      </c>
      <c r="Q11" s="166">
        <f>SUM('Niedźwiedź (5)'!M21:M23)</f>
        <v>0</v>
      </c>
      <c r="R11" s="165">
        <f t="shared" si="9"/>
        <v>0</v>
      </c>
      <c r="S11" s="166">
        <f>SUM('Niedźwiedź (5)'!N21:N23)</f>
        <v>1160</v>
      </c>
      <c r="T11" s="165">
        <f t="shared" si="10"/>
        <v>19.720000000000002</v>
      </c>
      <c r="U11" s="166">
        <f>'Niedźwiedź (5)'!$H$24</f>
        <v>1534</v>
      </c>
      <c r="V11" s="165">
        <f t="shared" si="11"/>
        <v>26.078000000000003</v>
      </c>
      <c r="W11" s="29">
        <v>0</v>
      </c>
      <c r="X11" s="29">
        <v>0</v>
      </c>
      <c r="Y11" s="29">
        <v>0</v>
      </c>
      <c r="Z11" s="29">
        <v>0</v>
      </c>
      <c r="AA11" s="23">
        <f t="shared" si="12"/>
        <v>15</v>
      </c>
      <c r="AB11" s="30">
        <f t="shared" si="13"/>
        <v>1334</v>
      </c>
      <c r="AC11" s="30">
        <f t="shared" si="14"/>
        <v>2541.059</v>
      </c>
      <c r="AD11" s="30">
        <f t="shared" si="15"/>
        <v>1534</v>
      </c>
      <c r="AE11" s="68">
        <f t="shared" si="0"/>
        <v>26.078</v>
      </c>
      <c r="AF11" s="68">
        <f t="shared" si="1"/>
        <v>43.198003</v>
      </c>
      <c r="AG11" s="68">
        <f t="shared" si="2"/>
        <v>26.078000000000003</v>
      </c>
      <c r="AI11" s="23">
        <f t="shared" si="16"/>
        <v>0</v>
      </c>
    </row>
    <row r="12" spans="1:35" s="36" customFormat="1" ht="11.25">
      <c r="A12" s="32">
        <f t="shared" si="3"/>
        <v>9</v>
      </c>
      <c r="B12" s="33" t="s">
        <v>180</v>
      </c>
      <c r="C12" s="34">
        <f>'Morawsko (13)'!G7</f>
        <v>0</v>
      </c>
      <c r="D12" s="35">
        <f>'Morawsko (13)'!H7</f>
        <v>0</v>
      </c>
      <c r="E12" s="69">
        <f t="shared" si="4"/>
        <v>0</v>
      </c>
      <c r="F12" s="34">
        <f>'Morawsko (13)'!$G$8</f>
        <v>1</v>
      </c>
      <c r="G12" s="35">
        <f>'Morawsko (13)'!$H$8</f>
        <v>186</v>
      </c>
      <c r="H12" s="69">
        <f t="shared" si="5"/>
        <v>3.1620000000000004</v>
      </c>
      <c r="I12" s="34">
        <f>'Morawsko (13)'!G9</f>
        <v>0</v>
      </c>
      <c r="J12" s="70">
        <f>'Morawsko (13)'!I9</f>
        <v>0</v>
      </c>
      <c r="K12" s="263">
        <f>SUM('Morawsko (13)'!J7:J9)</f>
        <v>0</v>
      </c>
      <c r="L12" s="264">
        <f t="shared" si="6"/>
        <v>0</v>
      </c>
      <c r="M12" s="166">
        <f>SUM('Morawsko (13)'!K7:K9)</f>
        <v>0</v>
      </c>
      <c r="N12" s="165">
        <f t="shared" si="7"/>
        <v>0</v>
      </c>
      <c r="O12" s="166">
        <f>SUM('Morawsko (13)'!L7:L9)</f>
        <v>0</v>
      </c>
      <c r="P12" s="165">
        <f t="shared" si="8"/>
        <v>0</v>
      </c>
      <c r="Q12" s="166">
        <f>SUM('Morawsko (13)'!M7:M9)</f>
        <v>186</v>
      </c>
      <c r="R12" s="165">
        <f t="shared" si="9"/>
        <v>3.1620000000000004</v>
      </c>
      <c r="S12" s="166">
        <f>SUM('Morawsko (13)'!N7:N9)</f>
        <v>0</v>
      </c>
      <c r="T12" s="165">
        <f t="shared" si="10"/>
        <v>0</v>
      </c>
      <c r="U12" s="166">
        <f>'Morawsko (13)'!$H$10</f>
        <v>186</v>
      </c>
      <c r="V12" s="165">
        <f t="shared" si="11"/>
        <v>3.1620000000000004</v>
      </c>
      <c r="W12" s="35">
        <v>0</v>
      </c>
      <c r="X12" s="35">
        <v>0</v>
      </c>
      <c r="Y12" s="35">
        <v>0</v>
      </c>
      <c r="Z12" s="35">
        <v>0</v>
      </c>
      <c r="AA12" s="23">
        <f t="shared" si="12"/>
        <v>1</v>
      </c>
      <c r="AB12" s="30">
        <f t="shared" si="13"/>
        <v>186</v>
      </c>
      <c r="AC12" s="30">
        <f t="shared" si="14"/>
        <v>186</v>
      </c>
      <c r="AD12" s="30">
        <f>U12+W12+Y12</f>
        <v>186</v>
      </c>
      <c r="AE12" s="68">
        <f t="shared" si="0"/>
        <v>3.1620000000000004</v>
      </c>
      <c r="AF12" s="68">
        <f t="shared" si="1"/>
        <v>3.1620000000000004</v>
      </c>
      <c r="AG12" s="68">
        <f>V12+X12+Z12</f>
        <v>3.1620000000000004</v>
      </c>
      <c r="AI12" s="23">
        <f t="shared" si="16"/>
        <v>0</v>
      </c>
    </row>
    <row r="13" spans="1:35" ht="11.25">
      <c r="A13" s="39">
        <f t="shared" si="3"/>
        <v>10</v>
      </c>
      <c r="B13" s="22" t="s">
        <v>40</v>
      </c>
      <c r="C13" s="28">
        <f>'Morzyczyn (10)'!G18</f>
        <v>0</v>
      </c>
      <c r="D13" s="29">
        <f>'Morzyczyn (10)'!H18</f>
        <v>0</v>
      </c>
      <c r="E13" s="69">
        <f t="shared" si="4"/>
        <v>0</v>
      </c>
      <c r="F13" s="28">
        <f>'Morzyczyn (10)'!$G$19</f>
        <v>10</v>
      </c>
      <c r="G13" s="29">
        <f>'Morzyczyn (10)'!$H$19</f>
        <v>983</v>
      </c>
      <c r="H13" s="69">
        <f t="shared" si="5"/>
        <v>16.711000000000002</v>
      </c>
      <c r="I13" s="28">
        <f>'Morzyczyn (10)'!$G$20</f>
        <v>3</v>
      </c>
      <c r="J13" s="69">
        <f>'Morzyczyn (10)'!$I$20</f>
        <v>9.299</v>
      </c>
      <c r="K13" s="263">
        <f>SUM('Morzyczyn (10)'!J18:J20)</f>
        <v>1128.235</v>
      </c>
      <c r="L13" s="264">
        <f t="shared" si="6"/>
        <v>19.179994999999998</v>
      </c>
      <c r="M13" s="166">
        <f>SUM('Morzyczyn (10)'!K18:K20)</f>
        <v>547</v>
      </c>
      <c r="N13" s="165">
        <f t="shared" si="7"/>
        <v>9.299000000000001</v>
      </c>
      <c r="O13" s="166">
        <f>SUM('Morzyczyn (10)'!L18:L20)</f>
        <v>163</v>
      </c>
      <c r="P13" s="165">
        <f t="shared" si="8"/>
        <v>2.7710000000000004</v>
      </c>
      <c r="Q13" s="166">
        <f>SUM('Morzyczyn (10)'!M18:M20)</f>
        <v>0</v>
      </c>
      <c r="R13" s="165">
        <f t="shared" si="9"/>
        <v>0</v>
      </c>
      <c r="S13" s="166">
        <f>SUM('Morzyczyn (10)'!N18:N20)</f>
        <v>820</v>
      </c>
      <c r="T13" s="165">
        <f t="shared" si="10"/>
        <v>13.940000000000001</v>
      </c>
      <c r="U13" s="166">
        <f>'Morzyczyn (10)'!H21</f>
        <v>1530</v>
      </c>
      <c r="V13" s="165">
        <f t="shared" si="11"/>
        <v>26.01</v>
      </c>
      <c r="W13" s="29">
        <f>'Morzyczyn (10)'!H22</f>
        <v>250</v>
      </c>
      <c r="X13" s="69">
        <f>'Morzyczyn (10)'!I22</f>
        <v>2.75</v>
      </c>
      <c r="Y13" s="29">
        <v>0</v>
      </c>
      <c r="Z13" s="29">
        <v>0</v>
      </c>
      <c r="AA13" s="23">
        <f t="shared" si="12"/>
        <v>13</v>
      </c>
      <c r="AB13" s="30">
        <f t="shared" si="13"/>
        <v>983</v>
      </c>
      <c r="AC13" s="30">
        <f t="shared" si="14"/>
        <v>2111.2349999999997</v>
      </c>
      <c r="AD13" s="30">
        <f>U13+W13+Y13</f>
        <v>1780</v>
      </c>
      <c r="AE13" s="74">
        <f t="shared" si="0"/>
        <v>26.01</v>
      </c>
      <c r="AF13" s="74">
        <f t="shared" si="1"/>
        <v>35.890995000000004</v>
      </c>
      <c r="AG13" s="74">
        <f t="shared" si="2"/>
        <v>28.76</v>
      </c>
      <c r="AI13" s="23">
        <f t="shared" si="16"/>
        <v>0</v>
      </c>
    </row>
    <row r="14" spans="1:35" ht="11.25">
      <c r="A14" s="39">
        <f t="shared" si="3"/>
        <v>11</v>
      </c>
      <c r="B14" s="22" t="s">
        <v>36</v>
      </c>
      <c r="C14" s="28">
        <f>'Motaniec(6)'!G35</f>
        <v>0</v>
      </c>
      <c r="D14" s="29">
        <f>'Motaniec(6)'!H35</f>
        <v>0</v>
      </c>
      <c r="E14" s="69">
        <f t="shared" si="4"/>
        <v>0</v>
      </c>
      <c r="F14" s="28">
        <f>'Motaniec(6)'!$G$36</f>
        <v>29</v>
      </c>
      <c r="G14" s="29">
        <f>'Motaniec(6)'!$H$36</f>
        <v>4930</v>
      </c>
      <c r="H14" s="69">
        <f t="shared" si="5"/>
        <v>83.81</v>
      </c>
      <c r="I14" s="28">
        <f>'Motaniec(6)'!G37</f>
        <v>0</v>
      </c>
      <c r="J14" s="69">
        <f>'Motaniec(6)'!I37</f>
        <v>0</v>
      </c>
      <c r="K14" s="263">
        <f>SUM('Motaniec(6)'!J35:J37)</f>
        <v>115.294</v>
      </c>
      <c r="L14" s="264">
        <f t="shared" si="6"/>
        <v>1.9599980000000001</v>
      </c>
      <c r="M14" s="166">
        <f>SUM('Motaniec(6)'!K35:K37)</f>
        <v>1134</v>
      </c>
      <c r="N14" s="165">
        <f t="shared" si="7"/>
        <v>19.278000000000002</v>
      </c>
      <c r="O14" s="166">
        <f>SUM('Motaniec(6)'!L35:L37)</f>
        <v>281</v>
      </c>
      <c r="P14" s="165">
        <f t="shared" si="8"/>
        <v>4.777</v>
      </c>
      <c r="Q14" s="166">
        <f>SUM('Motaniec(6)'!M35:M37)</f>
        <v>0</v>
      </c>
      <c r="R14" s="165">
        <f t="shared" si="9"/>
        <v>0</v>
      </c>
      <c r="S14" s="166">
        <f>SUM('Motaniec(6)'!N35:N37)</f>
        <v>3515</v>
      </c>
      <c r="T14" s="165">
        <f t="shared" si="10"/>
        <v>59.755</v>
      </c>
      <c r="U14" s="166">
        <f>'Motaniec(6)'!$H$38</f>
        <v>4930</v>
      </c>
      <c r="V14" s="165">
        <f t="shared" si="11"/>
        <v>83.81</v>
      </c>
      <c r="W14" s="29">
        <v>0</v>
      </c>
      <c r="X14" s="29">
        <v>0</v>
      </c>
      <c r="Y14" s="29">
        <v>0</v>
      </c>
      <c r="Z14" s="29">
        <v>0</v>
      </c>
      <c r="AA14" s="23">
        <f t="shared" si="12"/>
        <v>29</v>
      </c>
      <c r="AB14" s="30">
        <f t="shared" si="13"/>
        <v>4930</v>
      </c>
      <c r="AC14" s="30">
        <f t="shared" si="14"/>
        <v>3911.294</v>
      </c>
      <c r="AD14" s="30">
        <f t="shared" si="15"/>
        <v>4930</v>
      </c>
      <c r="AE14" s="68">
        <f t="shared" si="0"/>
        <v>83.81</v>
      </c>
      <c r="AF14" s="68">
        <f t="shared" si="1"/>
        <v>66.491998</v>
      </c>
      <c r="AG14" s="68">
        <f t="shared" si="2"/>
        <v>83.81</v>
      </c>
      <c r="AI14" s="23">
        <f t="shared" si="16"/>
        <v>0</v>
      </c>
    </row>
    <row r="15" spans="1:35" s="36" customFormat="1" ht="11.25">
      <c r="A15" s="32">
        <f t="shared" si="3"/>
        <v>12</v>
      </c>
      <c r="B15" s="33" t="s">
        <v>37</v>
      </c>
      <c r="C15" s="34">
        <f>'Rekowo(7)'!G20</f>
        <v>0</v>
      </c>
      <c r="D15" s="35">
        <f>'Rekowo(7)'!H20</f>
        <v>0</v>
      </c>
      <c r="E15" s="69">
        <f t="shared" si="4"/>
        <v>0</v>
      </c>
      <c r="F15" s="34">
        <f>'Rekowo(7)'!$G$21</f>
        <v>14</v>
      </c>
      <c r="G15" s="35">
        <f>'Rekowo(7)'!$H$21</f>
        <v>1044</v>
      </c>
      <c r="H15" s="69">
        <f t="shared" si="5"/>
        <v>17.748</v>
      </c>
      <c r="I15" s="34">
        <f>'Rekowo(7)'!$G$22</f>
        <v>0</v>
      </c>
      <c r="J15" s="70">
        <f>'Rekowo(7)'!$I$22</f>
        <v>0</v>
      </c>
      <c r="K15" s="263">
        <f>SUM('Rekowo(7)'!J20:J22)</f>
        <v>198.823</v>
      </c>
      <c r="L15" s="264">
        <f t="shared" si="6"/>
        <v>3.3799910000000004</v>
      </c>
      <c r="M15" s="166">
        <f>SUM('Rekowo(7)'!K20:K22)</f>
        <v>0</v>
      </c>
      <c r="N15" s="165">
        <f t="shared" si="7"/>
        <v>0</v>
      </c>
      <c r="O15" s="166">
        <f>SUM('Rekowo(7)'!L20:L22)</f>
        <v>171</v>
      </c>
      <c r="P15" s="165">
        <f t="shared" si="8"/>
        <v>2.907</v>
      </c>
      <c r="Q15" s="166">
        <f>SUM('Rekowo(7)'!M20:M22)</f>
        <v>0</v>
      </c>
      <c r="R15" s="165">
        <f t="shared" si="9"/>
        <v>0</v>
      </c>
      <c r="S15" s="166">
        <f>SUM('Rekowo(7)'!N20:N22)</f>
        <v>873</v>
      </c>
      <c r="T15" s="165">
        <f t="shared" si="10"/>
        <v>14.841000000000001</v>
      </c>
      <c r="U15" s="166">
        <f>'Rekowo(7)'!$H$23</f>
        <v>1044</v>
      </c>
      <c r="V15" s="165">
        <f t="shared" si="11"/>
        <v>17.748</v>
      </c>
      <c r="W15" s="35">
        <v>0</v>
      </c>
      <c r="X15" s="35">
        <v>0</v>
      </c>
      <c r="Y15" s="35">
        <v>0</v>
      </c>
      <c r="Z15" s="35">
        <v>0</v>
      </c>
      <c r="AA15" s="23">
        <f t="shared" si="12"/>
        <v>14</v>
      </c>
      <c r="AB15" s="30">
        <f t="shared" si="13"/>
        <v>1044</v>
      </c>
      <c r="AC15" s="30">
        <f t="shared" si="14"/>
        <v>1242.8229999999999</v>
      </c>
      <c r="AD15" s="30">
        <f t="shared" si="15"/>
        <v>1044</v>
      </c>
      <c r="AE15" s="68">
        <f t="shared" si="0"/>
        <v>17.748</v>
      </c>
      <c r="AF15" s="68">
        <f t="shared" si="1"/>
        <v>21.127991</v>
      </c>
      <c r="AG15" s="68">
        <f t="shared" si="2"/>
        <v>17.748</v>
      </c>
      <c r="AI15" s="23">
        <f t="shared" si="16"/>
        <v>0</v>
      </c>
    </row>
    <row r="16" spans="1:35" ht="12.75" customHeight="1">
      <c r="A16" s="39">
        <f t="shared" si="3"/>
        <v>13</v>
      </c>
      <c r="B16" s="22" t="s">
        <v>30</v>
      </c>
      <c r="C16" s="28">
        <f>'Reptowo (3)'!$G$71</f>
        <v>5</v>
      </c>
      <c r="D16" s="29">
        <f>'Reptowo (3)'!$H$71</f>
        <v>522</v>
      </c>
      <c r="E16" s="69">
        <f t="shared" si="4"/>
        <v>8.874</v>
      </c>
      <c r="F16" s="28">
        <f>'Reptowo (3)'!$G$72</f>
        <v>50</v>
      </c>
      <c r="G16" s="29">
        <f>'Reptowo (3)'!$H$72</f>
        <v>4769</v>
      </c>
      <c r="H16" s="69">
        <f t="shared" si="5"/>
        <v>81.07300000000001</v>
      </c>
      <c r="I16" s="28">
        <f>'Reptowo (3)'!$G$73</f>
        <v>11</v>
      </c>
      <c r="J16" s="69">
        <f>'Reptowo (3)'!I73</f>
        <v>10.523</v>
      </c>
      <c r="K16" s="263">
        <f>SUM('Reptowo (3)'!J71:J73)</f>
        <v>822.353</v>
      </c>
      <c r="L16" s="264">
        <f t="shared" si="6"/>
        <v>13.980001</v>
      </c>
      <c r="M16" s="166">
        <f>SUM('Reptowo (3)'!K71:K73)</f>
        <v>1955</v>
      </c>
      <c r="N16" s="165">
        <f t="shared" si="7"/>
        <v>33.235</v>
      </c>
      <c r="O16" s="166">
        <f>SUM('Reptowo (3)'!L71:L73)</f>
        <v>673</v>
      </c>
      <c r="P16" s="165">
        <f t="shared" si="8"/>
        <v>11.441</v>
      </c>
      <c r="Q16" s="166">
        <f>SUM('Reptowo (3)'!M71:M73)</f>
        <v>474</v>
      </c>
      <c r="R16" s="165">
        <f t="shared" si="9"/>
        <v>8.058</v>
      </c>
      <c r="S16" s="166">
        <f>SUM('Reptowo (3)'!N71:N73)</f>
        <v>2808</v>
      </c>
      <c r="T16" s="165">
        <f t="shared" si="10"/>
        <v>47.736000000000004</v>
      </c>
      <c r="U16" s="166">
        <f>'Reptowo (3)'!$H$74</f>
        <v>5910</v>
      </c>
      <c r="V16" s="165">
        <f t="shared" si="11"/>
        <v>100.47000000000001</v>
      </c>
      <c r="W16" s="29">
        <v>0</v>
      </c>
      <c r="X16" s="29">
        <v>0</v>
      </c>
      <c r="Y16" s="29">
        <v>0</v>
      </c>
      <c r="Z16" s="29">
        <v>0</v>
      </c>
      <c r="AA16" s="23">
        <f t="shared" si="12"/>
        <v>66</v>
      </c>
      <c r="AB16" s="30">
        <f t="shared" si="13"/>
        <v>5291</v>
      </c>
      <c r="AC16" s="30">
        <f t="shared" si="14"/>
        <v>4777.353</v>
      </c>
      <c r="AD16" s="30">
        <f t="shared" si="15"/>
        <v>5910</v>
      </c>
      <c r="AE16" s="68">
        <f t="shared" si="0"/>
        <v>100.47</v>
      </c>
      <c r="AF16" s="68">
        <f t="shared" si="1"/>
        <v>81.215001</v>
      </c>
      <c r="AG16" s="68">
        <f t="shared" si="2"/>
        <v>100.47000000000001</v>
      </c>
      <c r="AI16" s="23">
        <f t="shared" si="16"/>
        <v>0</v>
      </c>
    </row>
    <row r="17" spans="1:35" s="36" customFormat="1" ht="12.75" customHeight="1">
      <c r="A17" s="32">
        <f t="shared" si="3"/>
        <v>14</v>
      </c>
      <c r="B17" s="22" t="s">
        <v>39</v>
      </c>
      <c r="C17" s="47">
        <f>'Zieleniewo (9)'!$G$17</f>
        <v>1</v>
      </c>
      <c r="D17" s="35">
        <f>'Zieleniewo (9)'!$H$17</f>
        <v>100</v>
      </c>
      <c r="E17" s="69">
        <f t="shared" si="4"/>
        <v>1.7000000000000002</v>
      </c>
      <c r="F17" s="34">
        <f>'Zieleniewo (9)'!$G$18</f>
        <v>9</v>
      </c>
      <c r="G17" s="35">
        <f>'Zieleniewo (9)'!H18</f>
        <v>860</v>
      </c>
      <c r="H17" s="69">
        <f t="shared" si="5"/>
        <v>14.620000000000001</v>
      </c>
      <c r="I17" s="34">
        <f>'Zieleniewo (9)'!G19</f>
        <v>1</v>
      </c>
      <c r="J17" s="70">
        <f>'Zieleniewo (9)'!I19</f>
        <v>0.51</v>
      </c>
      <c r="K17" s="263">
        <f>SUM('Zieleniewo (9)'!J17:J19)</f>
        <v>325.294</v>
      </c>
      <c r="L17" s="264">
        <f t="shared" si="6"/>
        <v>5.529998</v>
      </c>
      <c r="M17" s="166">
        <f>SUM('Zieleniewo (9)'!K17:K19)</f>
        <v>42</v>
      </c>
      <c r="N17" s="165">
        <f t="shared" si="7"/>
        <v>0.7140000000000001</v>
      </c>
      <c r="O17" s="166">
        <f>SUM('Zieleniewo (9)'!L17:L19)</f>
        <v>138</v>
      </c>
      <c r="P17" s="165">
        <f t="shared" si="8"/>
        <v>2.346</v>
      </c>
      <c r="Q17" s="166">
        <f>SUM('Zieleniewo (9)'!M17:M19)</f>
        <v>100</v>
      </c>
      <c r="R17" s="165">
        <f t="shared" si="9"/>
        <v>1.7000000000000002</v>
      </c>
      <c r="S17" s="166">
        <f>SUM('Zieleniewo (9)'!N17:N19)</f>
        <v>710</v>
      </c>
      <c r="T17" s="165">
        <f t="shared" si="10"/>
        <v>12.07</v>
      </c>
      <c r="U17" s="166">
        <f>'Zieleniewo (9)'!$H$20</f>
        <v>990</v>
      </c>
      <c r="V17" s="165">
        <f t="shared" si="11"/>
        <v>16.830000000000002</v>
      </c>
      <c r="W17" s="35">
        <v>0</v>
      </c>
      <c r="X17" s="35">
        <v>0</v>
      </c>
      <c r="Y17" s="35">
        <v>0</v>
      </c>
      <c r="Z17" s="35">
        <v>0</v>
      </c>
      <c r="AA17" s="23">
        <f t="shared" si="12"/>
        <v>11</v>
      </c>
      <c r="AB17" s="30">
        <f t="shared" si="13"/>
        <v>960</v>
      </c>
      <c r="AC17" s="30">
        <f t="shared" si="14"/>
        <v>1273.2939999999999</v>
      </c>
      <c r="AD17" s="30">
        <f t="shared" si="15"/>
        <v>990</v>
      </c>
      <c r="AE17" s="74">
        <f t="shared" si="0"/>
        <v>16.830000000000002</v>
      </c>
      <c r="AF17" s="74">
        <f t="shared" si="1"/>
        <v>21.645998</v>
      </c>
      <c r="AG17" s="74">
        <f t="shared" si="2"/>
        <v>16.830000000000002</v>
      </c>
      <c r="AI17" s="23">
        <f t="shared" si="16"/>
        <v>0</v>
      </c>
    </row>
    <row r="18" spans="1:35" ht="11.25">
      <c r="A18" s="39">
        <f t="shared" si="3"/>
        <v>15</v>
      </c>
      <c r="B18" s="33" t="s">
        <v>82</v>
      </c>
      <c r="C18" s="28">
        <v>0</v>
      </c>
      <c r="D18" s="29">
        <v>0</v>
      </c>
      <c r="E18" s="69">
        <f t="shared" si="4"/>
        <v>0</v>
      </c>
      <c r="F18" s="28">
        <v>0</v>
      </c>
      <c r="G18" s="29">
        <v>0</v>
      </c>
      <c r="H18" s="69">
        <f t="shared" si="5"/>
        <v>0</v>
      </c>
      <c r="I18" s="28">
        <v>0</v>
      </c>
      <c r="J18" s="69">
        <v>0</v>
      </c>
      <c r="K18" s="263">
        <v>0</v>
      </c>
      <c r="L18" s="264">
        <f t="shared" si="6"/>
        <v>0</v>
      </c>
      <c r="M18" s="166">
        <v>0</v>
      </c>
      <c r="N18" s="165">
        <f t="shared" si="7"/>
        <v>0</v>
      </c>
      <c r="O18" s="166">
        <v>0</v>
      </c>
      <c r="P18" s="165">
        <f t="shared" si="8"/>
        <v>0</v>
      </c>
      <c r="Q18" s="166">
        <v>0</v>
      </c>
      <c r="R18" s="165">
        <f t="shared" si="9"/>
        <v>0</v>
      </c>
      <c r="S18" s="166">
        <v>0</v>
      </c>
      <c r="T18" s="165">
        <f t="shared" si="10"/>
        <v>0</v>
      </c>
      <c r="U18" s="166">
        <v>0</v>
      </c>
      <c r="V18" s="165">
        <f t="shared" si="11"/>
        <v>0</v>
      </c>
      <c r="W18" s="29">
        <v>0</v>
      </c>
      <c r="X18" s="29">
        <v>0</v>
      </c>
      <c r="Y18" s="29">
        <v>0</v>
      </c>
      <c r="Z18" s="29">
        <v>0</v>
      </c>
      <c r="AA18" s="23">
        <f t="shared" si="12"/>
        <v>0</v>
      </c>
      <c r="AB18" s="30">
        <f t="shared" si="13"/>
        <v>0</v>
      </c>
      <c r="AC18" s="30">
        <f t="shared" si="14"/>
        <v>0</v>
      </c>
      <c r="AD18" s="30">
        <f t="shared" si="15"/>
        <v>0</v>
      </c>
      <c r="AE18" s="68">
        <f t="shared" si="0"/>
        <v>0</v>
      </c>
      <c r="AF18" s="68">
        <f t="shared" si="1"/>
        <v>0</v>
      </c>
      <c r="AG18" s="68">
        <f t="shared" si="2"/>
        <v>0</v>
      </c>
      <c r="AI18" s="23">
        <f t="shared" si="16"/>
        <v>0</v>
      </c>
    </row>
    <row r="19" spans="1:33" s="51" customFormat="1" ht="11.25">
      <c r="A19" s="58">
        <v>16</v>
      </c>
      <c r="B19" s="48" t="s">
        <v>11</v>
      </c>
      <c r="C19" s="49">
        <f>SUM(C4:C18)</f>
        <v>18</v>
      </c>
      <c r="D19" s="50">
        <f aca="true" t="shared" si="17" ref="D19:W19">SUM(D4:D18)</f>
        <v>2214</v>
      </c>
      <c r="E19" s="72">
        <f>SUM(E4:E18)</f>
        <v>37.638000000000005</v>
      </c>
      <c r="F19" s="49">
        <f t="shared" si="17"/>
        <v>260</v>
      </c>
      <c r="G19" s="50">
        <f t="shared" si="17"/>
        <v>26784.5</v>
      </c>
      <c r="H19" s="72">
        <f>SUM(H4:H18)</f>
        <v>455.3365</v>
      </c>
      <c r="I19" s="49">
        <f t="shared" si="17"/>
        <v>25</v>
      </c>
      <c r="J19" s="72">
        <f>SUM(J4:J18)</f>
        <v>46.205999999999996</v>
      </c>
      <c r="K19" s="266">
        <f t="shared" si="17"/>
        <v>7182.94</v>
      </c>
      <c r="L19" s="267">
        <f>SUM(L4:L18)</f>
        <v>122.10998000000002</v>
      </c>
      <c r="M19" s="169">
        <f>SUM(M4:M18)</f>
        <v>7219</v>
      </c>
      <c r="N19" s="170">
        <f>SUM(N4:N18)</f>
        <v>122.723</v>
      </c>
      <c r="O19" s="169">
        <f t="shared" si="17"/>
        <v>2974.5</v>
      </c>
      <c r="P19" s="168">
        <f>SUM(P4:P18)</f>
        <v>50.566500000000005</v>
      </c>
      <c r="Q19" s="169">
        <f t="shared" si="17"/>
        <v>2603</v>
      </c>
      <c r="R19" s="170">
        <f t="shared" si="17"/>
        <v>44.251000000000005</v>
      </c>
      <c r="S19" s="169">
        <f t="shared" si="17"/>
        <v>18920</v>
      </c>
      <c r="T19" s="168">
        <f t="shared" si="17"/>
        <v>321.63999999999993</v>
      </c>
      <c r="U19" s="169">
        <f t="shared" si="17"/>
        <v>31716.5</v>
      </c>
      <c r="V19" s="168">
        <f>SUM(V4:V18)</f>
        <v>539.1804999999999</v>
      </c>
      <c r="W19" s="50">
        <f t="shared" si="17"/>
        <v>250</v>
      </c>
      <c r="X19" s="72">
        <f>SUM(X4:X18)</f>
        <v>2.75</v>
      </c>
      <c r="Y19" s="50">
        <f>SUM(Y4:Y18)</f>
        <v>0</v>
      </c>
      <c r="Z19" s="50">
        <f>SUM(Z4:Z18)</f>
        <v>0</v>
      </c>
      <c r="AA19" s="23">
        <f t="shared" si="12"/>
        <v>303</v>
      </c>
      <c r="AB19" s="30">
        <f>D19+G19</f>
        <v>28998.5</v>
      </c>
      <c r="AC19" s="30">
        <f>K19+O19+Q19+S19</f>
        <v>31680.44</v>
      </c>
      <c r="AD19" s="30">
        <f>U19+W19+Y19</f>
        <v>31966.5</v>
      </c>
      <c r="AE19" s="68">
        <f>E19+H19+J19</f>
        <v>539.1805</v>
      </c>
      <c r="AF19" s="68">
        <f>L19+P19+R19+T19</f>
        <v>538.5674799999999</v>
      </c>
      <c r="AG19" s="68">
        <f>V19+X19+Z19</f>
        <v>541.9304999999999</v>
      </c>
    </row>
    <row r="20" spans="12:22" ht="11.25">
      <c r="L20" s="171"/>
      <c r="M20" s="171"/>
      <c r="N20" s="171"/>
      <c r="O20" s="164"/>
      <c r="P20" s="172"/>
      <c r="Q20" s="164"/>
      <c r="R20" s="172"/>
      <c r="S20" s="164"/>
      <c r="T20" s="172"/>
      <c r="U20" s="164"/>
      <c r="V20" s="172"/>
    </row>
    <row r="21" spans="1:22" ht="11.25">
      <c r="A21" s="272" t="s">
        <v>83</v>
      </c>
      <c r="B21" s="272"/>
      <c r="C21" s="272"/>
      <c r="D21" s="272"/>
      <c r="E21" s="272"/>
      <c r="F21" s="272"/>
      <c r="G21" s="272"/>
      <c r="H21" s="41"/>
      <c r="I21" s="42"/>
      <c r="L21" s="171"/>
      <c r="M21" s="171"/>
      <c r="N21" s="171"/>
      <c r="O21" s="164"/>
      <c r="P21" s="172"/>
      <c r="Q21" s="164"/>
      <c r="R21" s="172"/>
      <c r="S21" s="164"/>
      <c r="T21" s="172"/>
      <c r="U21" s="164"/>
      <c r="V21" s="172"/>
    </row>
    <row r="22" spans="1:25" s="57" customFormat="1" ht="24" customHeight="1">
      <c r="A22" s="44">
        <v>17</v>
      </c>
      <c r="B22" s="272" t="s">
        <v>84</v>
      </c>
      <c r="C22" s="272"/>
      <c r="D22" s="272"/>
      <c r="E22" s="272"/>
      <c r="F22" s="272"/>
      <c r="G22" s="272"/>
      <c r="H22" s="52">
        <f>C19+F19+I19</f>
        <v>303</v>
      </c>
      <c r="I22" s="44" t="s">
        <v>85</v>
      </c>
      <c r="J22" s="54"/>
      <c r="K22" s="55"/>
      <c r="L22" s="173"/>
      <c r="M22" s="173"/>
      <c r="N22" s="173"/>
      <c r="O22" s="174"/>
      <c r="P22" s="175"/>
      <c r="Q22" s="174"/>
      <c r="R22" s="175"/>
      <c r="S22" s="174"/>
      <c r="T22" s="175"/>
      <c r="U22" s="174"/>
      <c r="V22" s="175"/>
      <c r="W22" s="56"/>
      <c r="Y22" s="56"/>
    </row>
    <row r="23" spans="1:22" ht="24" customHeight="1">
      <c r="A23" s="44">
        <v>18</v>
      </c>
      <c r="B23" s="272" t="s">
        <v>86</v>
      </c>
      <c r="C23" s="272"/>
      <c r="D23" s="272"/>
      <c r="E23" s="272"/>
      <c r="F23" s="272"/>
      <c r="G23" s="272"/>
      <c r="H23" s="53">
        <f>D19+G19</f>
        <v>28998.5</v>
      </c>
      <c r="I23" s="44" t="s">
        <v>14</v>
      </c>
      <c r="L23" s="171"/>
      <c r="M23" s="171"/>
      <c r="N23" s="171"/>
      <c r="O23" s="164"/>
      <c r="P23" s="172"/>
      <c r="Q23" s="164"/>
      <c r="R23" s="172"/>
      <c r="S23" s="164"/>
      <c r="T23" s="172"/>
      <c r="U23" s="164"/>
      <c r="V23" s="172"/>
    </row>
    <row r="24" spans="1:22" ht="24" customHeight="1">
      <c r="A24" s="44">
        <v>19</v>
      </c>
      <c r="B24" s="272" t="s">
        <v>87</v>
      </c>
      <c r="C24" s="272"/>
      <c r="D24" s="272"/>
      <c r="E24" s="272"/>
      <c r="F24" s="272"/>
      <c r="G24" s="272"/>
      <c r="H24" s="67">
        <f>E19+H19+J19</f>
        <v>539.1805</v>
      </c>
      <c r="I24" s="44" t="s">
        <v>15</v>
      </c>
      <c r="L24" s="171"/>
      <c r="M24" s="171"/>
      <c r="N24" s="171"/>
      <c r="O24" s="164"/>
      <c r="P24" s="172"/>
      <c r="Q24" s="164"/>
      <c r="R24" s="172"/>
      <c r="S24" s="164"/>
      <c r="T24" s="172"/>
      <c r="U24" s="164"/>
      <c r="V24" s="172"/>
    </row>
  </sheetData>
  <sheetProtection/>
  <mergeCells count="21">
    <mergeCell ref="AE2:AG2"/>
    <mergeCell ref="U2:V2"/>
    <mergeCell ref="W2:X2"/>
    <mergeCell ref="I1:J2"/>
    <mergeCell ref="U1:Z1"/>
    <mergeCell ref="Q2:R2"/>
    <mergeCell ref="S2:T2"/>
    <mergeCell ref="AB2:AD2"/>
    <mergeCell ref="B23:G23"/>
    <mergeCell ref="M2:N2"/>
    <mergeCell ref="B24:G24"/>
    <mergeCell ref="O2:P2"/>
    <mergeCell ref="B22:G22"/>
    <mergeCell ref="Y2:Z2"/>
    <mergeCell ref="A1:A3"/>
    <mergeCell ref="B1:B3"/>
    <mergeCell ref="C1:E2"/>
    <mergeCell ref="F1:H2"/>
    <mergeCell ref="A21:G21"/>
    <mergeCell ref="K1:T1"/>
    <mergeCell ref="K2:L2"/>
  </mergeCells>
  <printOptions/>
  <pageMargins left="0.9448818897637796" right="0.2362204724409449" top="1.535433070866142" bottom="0.5905511811023623" header="0.5118110236220472" footer="0.2362204724409449"/>
  <pageSetup horizontalDpi="600" verticalDpi="600" orientation="landscape" paperSize="9" scale="75" r:id="rId1"/>
  <headerFooter alignWithMargins="0">
    <oddHeader>&amp;C&amp;"Arial,Pogrubiony"&amp;11Załącznik Nr 1 
INWENTARYZACJA&amp;"Arial,Normalny"&amp;10
wyrobów zawierających azbest
na terenie gminy Kobylanka
&amp;"Arial,Pogrubiony"Zestawienie zbiorcze wg rodzajów budynków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9" sqref="D19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1" width="9.140625" style="2" customWidth="1" outlineLevel="1"/>
    <col min="12" max="13" width="9.8515625" style="2" customWidth="1"/>
    <col min="14" max="14" width="10.28125" style="2" customWidth="1"/>
    <col min="15" max="15" width="10.140625" style="2" customWidth="1"/>
    <col min="16" max="16384" width="9.140625" style="2" customWidth="1"/>
  </cols>
  <sheetData>
    <row r="1" spans="1:15" s="1" customFormat="1" ht="45">
      <c r="A1" s="78" t="s">
        <v>0</v>
      </c>
      <c r="B1" s="78" t="s">
        <v>1</v>
      </c>
      <c r="C1" s="78" t="s">
        <v>2</v>
      </c>
      <c r="D1" s="79" t="s">
        <v>3</v>
      </c>
      <c r="E1" s="78"/>
      <c r="F1" s="78" t="s">
        <v>4</v>
      </c>
      <c r="G1" s="78" t="s">
        <v>5</v>
      </c>
      <c r="H1" s="78" t="s">
        <v>6</v>
      </c>
      <c r="I1" s="78" t="s">
        <v>7</v>
      </c>
      <c r="J1" s="78" t="s">
        <v>8</v>
      </c>
      <c r="K1" s="206" t="s">
        <v>9</v>
      </c>
      <c r="L1" s="200"/>
      <c r="M1" s="201"/>
      <c r="N1" s="201"/>
      <c r="O1" s="201"/>
    </row>
    <row r="2" spans="1:15" s="63" customFormat="1" ht="11.25">
      <c r="A2" s="81">
        <v>1</v>
      </c>
      <c r="B2" s="81" t="s">
        <v>29</v>
      </c>
      <c r="C2" s="82" t="s">
        <v>29</v>
      </c>
      <c r="D2" s="83" t="s">
        <v>119</v>
      </c>
      <c r="E2" s="81">
        <v>2</v>
      </c>
      <c r="F2" s="81" t="str">
        <f aca="true" t="shared" si="0" ref="F2:F9">IF(E2=2,"budynek gospodarczy","budynek mieszkalny")</f>
        <v>budynek gospodarczy</v>
      </c>
      <c r="G2" s="81" t="s">
        <v>10</v>
      </c>
      <c r="H2" s="84">
        <f>5*2*20</f>
        <v>200</v>
      </c>
      <c r="I2" s="85">
        <f>0.017*H2</f>
        <v>3.4000000000000004</v>
      </c>
      <c r="J2" s="86" t="s">
        <v>26</v>
      </c>
      <c r="K2" s="207" t="s">
        <v>74</v>
      </c>
      <c r="L2" s="209"/>
      <c r="M2" s="204"/>
      <c r="N2" s="204"/>
      <c r="O2" s="204"/>
    </row>
    <row r="3" spans="1:15" s="63" customFormat="1" ht="11.25">
      <c r="A3" s="81">
        <v>2</v>
      </c>
      <c r="B3" s="81" t="s">
        <v>29</v>
      </c>
      <c r="C3" s="82" t="s">
        <v>29</v>
      </c>
      <c r="D3" s="83" t="s">
        <v>119</v>
      </c>
      <c r="E3" s="81">
        <v>0</v>
      </c>
      <c r="F3" s="81" t="str">
        <f t="shared" si="0"/>
        <v>budynek mieszkalny</v>
      </c>
      <c r="G3" s="81" t="s">
        <v>10</v>
      </c>
      <c r="H3" s="84">
        <f>5*2*12</f>
        <v>120</v>
      </c>
      <c r="I3" s="85">
        <f aca="true" t="shared" si="1" ref="I3:I15">0.017*H3</f>
        <v>2.04</v>
      </c>
      <c r="J3" s="86" t="s">
        <v>24</v>
      </c>
      <c r="K3" s="207" t="s">
        <v>73</v>
      </c>
      <c r="L3" s="209"/>
      <c r="M3" s="204"/>
      <c r="N3" s="204"/>
      <c r="O3" s="204"/>
    </row>
    <row r="4" spans="1:15" s="63" customFormat="1" ht="11.25">
      <c r="A4" s="81">
        <v>3</v>
      </c>
      <c r="B4" s="44" t="s">
        <v>29</v>
      </c>
      <c r="C4" s="177" t="s">
        <v>29</v>
      </c>
      <c r="D4" s="178" t="s">
        <v>207</v>
      </c>
      <c r="E4" s="81">
        <v>2</v>
      </c>
      <c r="F4" s="44" t="s">
        <v>200</v>
      </c>
      <c r="G4" s="44" t="s">
        <v>10</v>
      </c>
      <c r="H4" s="84">
        <v>50</v>
      </c>
      <c r="I4" s="85">
        <f t="shared" si="1"/>
        <v>0.8500000000000001</v>
      </c>
      <c r="J4" s="176" t="s">
        <v>23</v>
      </c>
      <c r="K4" s="208" t="s">
        <v>206</v>
      </c>
      <c r="L4" s="209"/>
      <c r="M4" s="204"/>
      <c r="N4" s="204"/>
      <c r="O4" s="204"/>
    </row>
    <row r="5" spans="1:15" s="63" customFormat="1" ht="11.25">
      <c r="A5" s="81">
        <v>4</v>
      </c>
      <c r="B5" s="81" t="s">
        <v>29</v>
      </c>
      <c r="C5" s="82" t="s">
        <v>29</v>
      </c>
      <c r="D5" s="83" t="s">
        <v>120</v>
      </c>
      <c r="E5" s="81">
        <v>2</v>
      </c>
      <c r="F5" s="81" t="str">
        <f t="shared" si="0"/>
        <v>budynek gospodarczy</v>
      </c>
      <c r="G5" s="81" t="s">
        <v>10</v>
      </c>
      <c r="H5" s="84">
        <f>6.5*2*30</f>
        <v>390</v>
      </c>
      <c r="I5" s="85">
        <f t="shared" si="1"/>
        <v>6.630000000000001</v>
      </c>
      <c r="J5" s="86" t="s">
        <v>26</v>
      </c>
      <c r="K5" s="207" t="s">
        <v>74</v>
      </c>
      <c r="L5" s="209"/>
      <c r="M5" s="204"/>
      <c r="N5" s="204"/>
      <c r="O5" s="204"/>
    </row>
    <row r="6" spans="1:15" s="63" customFormat="1" ht="11.25">
      <c r="A6" s="81">
        <v>5</v>
      </c>
      <c r="B6" s="81" t="s">
        <v>29</v>
      </c>
      <c r="C6" s="82" t="s">
        <v>29</v>
      </c>
      <c r="D6" s="83" t="s">
        <v>120</v>
      </c>
      <c r="E6" s="81">
        <v>0</v>
      </c>
      <c r="F6" s="81" t="str">
        <f t="shared" si="0"/>
        <v>budynek mieszkalny</v>
      </c>
      <c r="G6" s="81" t="s">
        <v>10</v>
      </c>
      <c r="H6" s="84">
        <f>6.5*2*12</f>
        <v>156</v>
      </c>
      <c r="I6" s="85">
        <f t="shared" si="1"/>
        <v>2.652</v>
      </c>
      <c r="J6" s="86" t="s">
        <v>24</v>
      </c>
      <c r="K6" s="207" t="s">
        <v>73</v>
      </c>
      <c r="L6" s="209"/>
      <c r="M6" s="204"/>
      <c r="N6" s="204"/>
      <c r="O6" s="204"/>
    </row>
    <row r="7" spans="1:15" s="63" customFormat="1" ht="11.25">
      <c r="A7" s="81">
        <v>6</v>
      </c>
      <c r="B7" s="81" t="s">
        <v>29</v>
      </c>
      <c r="C7" s="82" t="s">
        <v>29</v>
      </c>
      <c r="D7" s="83" t="s">
        <v>120</v>
      </c>
      <c r="E7" s="81">
        <v>2</v>
      </c>
      <c r="F7" s="81" t="str">
        <f t="shared" si="0"/>
        <v>budynek gospodarczy</v>
      </c>
      <c r="G7" s="81" t="s">
        <v>10</v>
      </c>
      <c r="H7" s="84">
        <f>4.5*6</f>
        <v>27</v>
      </c>
      <c r="I7" s="85">
        <f t="shared" si="1"/>
        <v>0.459</v>
      </c>
      <c r="J7" s="86" t="s">
        <v>23</v>
      </c>
      <c r="K7" s="207" t="s">
        <v>72</v>
      </c>
      <c r="L7" s="209"/>
      <c r="M7" s="204"/>
      <c r="N7" s="204"/>
      <c r="O7" s="204"/>
    </row>
    <row r="8" spans="1:15" s="63" customFormat="1" ht="11.25">
      <c r="A8" s="81">
        <v>7</v>
      </c>
      <c r="B8" s="81" t="s">
        <v>29</v>
      </c>
      <c r="C8" s="82" t="s">
        <v>29</v>
      </c>
      <c r="D8" s="83" t="s">
        <v>120</v>
      </c>
      <c r="E8" s="81">
        <v>2</v>
      </c>
      <c r="F8" s="81" t="str">
        <f t="shared" si="0"/>
        <v>budynek gospodarczy</v>
      </c>
      <c r="G8" s="81" t="s">
        <v>10</v>
      </c>
      <c r="H8" s="84">
        <f>4*20</f>
        <v>80</v>
      </c>
      <c r="I8" s="85">
        <f t="shared" si="1"/>
        <v>1.36</v>
      </c>
      <c r="J8" s="86" t="s">
        <v>26</v>
      </c>
      <c r="K8" s="207" t="s">
        <v>74</v>
      </c>
      <c r="L8" s="209"/>
      <c r="M8" s="204"/>
      <c r="N8" s="204"/>
      <c r="O8" s="204"/>
    </row>
    <row r="9" spans="1:15" s="63" customFormat="1" ht="11.25">
      <c r="A9" s="81">
        <v>8</v>
      </c>
      <c r="B9" s="81" t="s">
        <v>29</v>
      </c>
      <c r="C9" s="82" t="s">
        <v>29</v>
      </c>
      <c r="D9" s="83" t="s">
        <v>120</v>
      </c>
      <c r="E9" s="81">
        <v>2</v>
      </c>
      <c r="F9" s="81" t="str">
        <f t="shared" si="0"/>
        <v>budynek gospodarczy</v>
      </c>
      <c r="G9" s="81" t="s">
        <v>10</v>
      </c>
      <c r="H9" s="84">
        <f>3.5*6</f>
        <v>21</v>
      </c>
      <c r="I9" s="85">
        <f t="shared" si="1"/>
        <v>0.35700000000000004</v>
      </c>
      <c r="J9" s="86" t="s">
        <v>23</v>
      </c>
      <c r="K9" s="207" t="s">
        <v>72</v>
      </c>
      <c r="L9" s="209"/>
      <c r="M9" s="204"/>
      <c r="N9" s="204"/>
      <c r="O9" s="204"/>
    </row>
    <row r="10" spans="1:15" s="63" customFormat="1" ht="11.25">
      <c r="A10" s="81">
        <v>9</v>
      </c>
      <c r="B10" s="81" t="s">
        <v>29</v>
      </c>
      <c r="C10" s="82" t="s">
        <v>29</v>
      </c>
      <c r="D10" s="83" t="s">
        <v>121</v>
      </c>
      <c r="E10" s="81">
        <v>2</v>
      </c>
      <c r="F10" s="81" t="str">
        <f aca="true" t="shared" si="2" ref="F10:F15">IF(E10=2,"budynek gospodarczy","budynek mieszkalny")</f>
        <v>budynek gospodarczy</v>
      </c>
      <c r="G10" s="81" t="s">
        <v>10</v>
      </c>
      <c r="H10" s="84">
        <f>4*2*20</f>
        <v>160</v>
      </c>
      <c r="I10" s="85">
        <f t="shared" si="1"/>
        <v>2.72</v>
      </c>
      <c r="J10" s="86" t="s">
        <v>26</v>
      </c>
      <c r="K10" s="207" t="s">
        <v>74</v>
      </c>
      <c r="L10" s="209"/>
      <c r="M10" s="204"/>
      <c r="N10" s="204"/>
      <c r="O10" s="204"/>
    </row>
    <row r="11" spans="1:15" s="63" customFormat="1" ht="11.25">
      <c r="A11" s="81">
        <v>10</v>
      </c>
      <c r="B11" s="81" t="s">
        <v>29</v>
      </c>
      <c r="C11" s="82" t="s">
        <v>29</v>
      </c>
      <c r="D11" s="83" t="s">
        <v>121</v>
      </c>
      <c r="E11" s="81">
        <v>2</v>
      </c>
      <c r="F11" s="81" t="str">
        <f t="shared" si="2"/>
        <v>budynek gospodarczy</v>
      </c>
      <c r="G11" s="81" t="s">
        <v>10</v>
      </c>
      <c r="H11" s="84">
        <f>6*8</f>
        <v>48</v>
      </c>
      <c r="I11" s="85">
        <f t="shared" si="1"/>
        <v>0.8160000000000001</v>
      </c>
      <c r="J11" s="86" t="s">
        <v>23</v>
      </c>
      <c r="K11" s="207" t="s">
        <v>72</v>
      </c>
      <c r="L11" s="209"/>
      <c r="M11" s="204"/>
      <c r="N11" s="204"/>
      <c r="O11" s="204"/>
    </row>
    <row r="12" spans="1:15" s="63" customFormat="1" ht="11.25">
      <c r="A12" s="81">
        <v>11</v>
      </c>
      <c r="B12" s="81" t="s">
        <v>29</v>
      </c>
      <c r="C12" s="82" t="s">
        <v>29</v>
      </c>
      <c r="D12" s="83" t="s">
        <v>122</v>
      </c>
      <c r="E12" s="81">
        <v>2</v>
      </c>
      <c r="F12" s="81" t="str">
        <f t="shared" si="2"/>
        <v>budynek gospodarczy</v>
      </c>
      <c r="G12" s="81" t="s">
        <v>10</v>
      </c>
      <c r="H12" s="84">
        <f>5*4</f>
        <v>20</v>
      </c>
      <c r="I12" s="85">
        <f t="shared" si="1"/>
        <v>0.34</v>
      </c>
      <c r="J12" s="86" t="s">
        <v>23</v>
      </c>
      <c r="K12" s="207" t="s">
        <v>72</v>
      </c>
      <c r="L12" s="209"/>
      <c r="M12" s="204"/>
      <c r="N12" s="204"/>
      <c r="O12" s="204"/>
    </row>
    <row r="13" spans="1:15" s="63" customFormat="1" ht="11.25">
      <c r="A13" s="81">
        <v>12</v>
      </c>
      <c r="B13" s="81" t="s">
        <v>29</v>
      </c>
      <c r="C13" s="82" t="s">
        <v>29</v>
      </c>
      <c r="D13" s="83" t="s">
        <v>123</v>
      </c>
      <c r="E13" s="81">
        <v>2</v>
      </c>
      <c r="F13" s="81" t="str">
        <f t="shared" si="2"/>
        <v>budynek gospodarczy</v>
      </c>
      <c r="G13" s="81" t="s">
        <v>10</v>
      </c>
      <c r="H13" s="84">
        <f>5*12</f>
        <v>60</v>
      </c>
      <c r="I13" s="85">
        <f t="shared" si="1"/>
        <v>1.02</v>
      </c>
      <c r="J13" s="86" t="s">
        <v>26</v>
      </c>
      <c r="K13" s="207" t="s">
        <v>74</v>
      </c>
      <c r="L13" s="209"/>
      <c r="M13" s="204"/>
      <c r="N13" s="204"/>
      <c r="O13" s="204"/>
    </row>
    <row r="14" spans="1:15" s="63" customFormat="1" ht="11.25">
      <c r="A14" s="81">
        <v>13</v>
      </c>
      <c r="B14" s="81" t="s">
        <v>29</v>
      </c>
      <c r="C14" s="82" t="s">
        <v>29</v>
      </c>
      <c r="D14" s="83" t="s">
        <v>124</v>
      </c>
      <c r="E14" s="81">
        <v>2</v>
      </c>
      <c r="F14" s="81" t="str">
        <f t="shared" si="2"/>
        <v>budynek gospodarczy</v>
      </c>
      <c r="G14" s="81" t="s">
        <v>10</v>
      </c>
      <c r="H14" s="84">
        <f>3*5</f>
        <v>15</v>
      </c>
      <c r="I14" s="85">
        <f t="shared" si="1"/>
        <v>0.255</v>
      </c>
      <c r="J14" s="86" t="s">
        <v>23</v>
      </c>
      <c r="K14" s="207" t="s">
        <v>72</v>
      </c>
      <c r="L14" s="209"/>
      <c r="M14" s="204"/>
      <c r="N14" s="204"/>
      <c r="O14" s="204"/>
    </row>
    <row r="15" spans="1:15" s="63" customFormat="1" ht="11.25">
      <c r="A15" s="81">
        <v>14</v>
      </c>
      <c r="B15" s="81" t="s">
        <v>29</v>
      </c>
      <c r="C15" s="82" t="s">
        <v>29</v>
      </c>
      <c r="D15" s="83" t="s">
        <v>124</v>
      </c>
      <c r="E15" s="81">
        <v>2</v>
      </c>
      <c r="F15" s="81" t="str">
        <f t="shared" si="2"/>
        <v>budynek gospodarczy</v>
      </c>
      <c r="G15" s="81" t="s">
        <v>10</v>
      </c>
      <c r="H15" s="84">
        <f>3.5*6</f>
        <v>21</v>
      </c>
      <c r="I15" s="85">
        <f t="shared" si="1"/>
        <v>0.35700000000000004</v>
      </c>
      <c r="J15" s="86" t="s">
        <v>23</v>
      </c>
      <c r="K15" s="207" t="s">
        <v>72</v>
      </c>
      <c r="L15" s="209"/>
      <c r="M15" s="204"/>
      <c r="N15" s="204"/>
      <c r="O15" s="204"/>
    </row>
    <row r="16" spans="3:11" s="63" customFormat="1" ht="11.25">
      <c r="C16" s="64"/>
      <c r="D16" s="65"/>
      <c r="J16" s="66"/>
      <c r="K16" s="66"/>
    </row>
    <row r="17" spans="7:11" ht="11.25">
      <c r="G17" s="2" t="s">
        <v>11</v>
      </c>
      <c r="H17" s="13">
        <f>SUM(H2:H15)</f>
        <v>1368</v>
      </c>
      <c r="I17" s="7">
        <f>SUM(I2:I15)</f>
        <v>23.255999999999997</v>
      </c>
      <c r="J17" s="7"/>
      <c r="K17" s="7"/>
    </row>
    <row r="19" spans="6:14" ht="11.25">
      <c r="F19" s="8" t="s">
        <v>12</v>
      </c>
      <c r="G19" s="8" t="s">
        <v>13</v>
      </c>
      <c r="H19" s="8" t="s">
        <v>14</v>
      </c>
      <c r="I19" s="8" t="s">
        <v>15</v>
      </c>
      <c r="J19" s="256" t="s">
        <v>232</v>
      </c>
      <c r="K19" s="180" t="s">
        <v>230</v>
      </c>
      <c r="L19" s="180" t="s">
        <v>227</v>
      </c>
      <c r="M19" s="180" t="s">
        <v>228</v>
      </c>
      <c r="N19" s="180" t="s">
        <v>229</v>
      </c>
    </row>
    <row r="20" spans="6:14" ht="11.25">
      <c r="F20" s="10" t="s">
        <v>16</v>
      </c>
      <c r="G20" s="10">
        <v>2</v>
      </c>
      <c r="H20" s="14">
        <f>SUMIF(E$2:I15,E3,H$2:H15)</f>
        <v>276</v>
      </c>
      <c r="I20" s="59">
        <f>SUMIF(E$2:I15,E3,I$2:I15)</f>
        <v>4.692</v>
      </c>
      <c r="J20" s="257"/>
      <c r="K20" s="10"/>
      <c r="L20" s="10"/>
      <c r="M20" s="10">
        <v>276</v>
      </c>
      <c r="N20" s="11"/>
    </row>
    <row r="21" spans="6:14" ht="11.25">
      <c r="F21" s="10" t="s">
        <v>17</v>
      </c>
      <c r="G21" s="10">
        <v>12</v>
      </c>
      <c r="H21" s="14">
        <f>SUMIF(E$2:I15,E2,H$2:H15)</f>
        <v>1092</v>
      </c>
      <c r="I21" s="59">
        <f>SUMIF(E$2:I15,E2,I$2:I15)</f>
        <v>18.563999999999997</v>
      </c>
      <c r="J21" s="258"/>
      <c r="K21" s="10">
        <v>50</v>
      </c>
      <c r="L21" s="10">
        <v>152</v>
      </c>
      <c r="N21" s="10">
        <v>890</v>
      </c>
    </row>
    <row r="22" spans="6:14" ht="11.25">
      <c r="F22" s="10" t="s">
        <v>18</v>
      </c>
      <c r="G22" s="10">
        <v>0</v>
      </c>
      <c r="H22" s="14">
        <v>0</v>
      </c>
      <c r="I22" s="59">
        <v>0</v>
      </c>
      <c r="J22" s="260"/>
      <c r="K22" s="11"/>
      <c r="L22" s="11"/>
      <c r="M22" s="11"/>
      <c r="N22" s="11"/>
    </row>
    <row r="23" spans="6:14" ht="11.25">
      <c r="F23" s="10" t="s">
        <v>10</v>
      </c>
      <c r="G23" s="10">
        <v>14</v>
      </c>
      <c r="H23" s="14">
        <f>SUMIF(G$2:I15,G3,H$2:H15)</f>
        <v>1368</v>
      </c>
      <c r="I23" s="59">
        <f>SUMIF(G$2:I15,G$2,I$2:I15)</f>
        <v>23.255999999999997</v>
      </c>
      <c r="J23" s="257"/>
      <c r="K23" s="59">
        <v>50</v>
      </c>
      <c r="L23" s="59">
        <v>152</v>
      </c>
      <c r="M23" s="59">
        <v>276</v>
      </c>
      <c r="N23" s="59">
        <v>890</v>
      </c>
    </row>
    <row r="24" spans="6:14" ht="11.25">
      <c r="F24" s="10" t="s">
        <v>19</v>
      </c>
      <c r="G24" s="10">
        <v>0</v>
      </c>
      <c r="H24" s="14">
        <f>SUMIF(G$2:I16,#REF!,H$2:H16)</f>
        <v>0</v>
      </c>
      <c r="I24" s="59">
        <f>SUMIF(G$2:I16,#REF!,I$2:I16)</f>
        <v>0</v>
      </c>
      <c r="J24" s="257"/>
      <c r="K24" s="11"/>
      <c r="L24" s="11"/>
      <c r="M24" s="11"/>
      <c r="N24" s="11"/>
    </row>
    <row r="25" spans="6:14" ht="11.25">
      <c r="F25" s="10" t="s">
        <v>20</v>
      </c>
      <c r="G25" s="10">
        <v>0</v>
      </c>
      <c r="H25" s="14">
        <f>SUMIF(G$2:I17,#REF!,H$2:H17)</f>
        <v>0</v>
      </c>
      <c r="I25" s="59">
        <f>SUMIF(G$2:I17,#REF!,I$2:I17)</f>
        <v>0</v>
      </c>
      <c r="J25" s="257"/>
      <c r="K25" s="11"/>
      <c r="L25" s="11"/>
      <c r="M25" s="11"/>
      <c r="N25" s="11"/>
    </row>
    <row r="26" spans="6:14" ht="11.25">
      <c r="F26" s="10" t="s">
        <v>21</v>
      </c>
      <c r="G26" s="10">
        <v>0</v>
      </c>
      <c r="H26" s="12"/>
      <c r="I26" s="59"/>
      <c r="J26" s="257"/>
      <c r="K26" s="11"/>
      <c r="L26" s="11"/>
      <c r="M26" s="11"/>
      <c r="N26" s="11"/>
    </row>
  </sheetData>
  <sheetProtection/>
  <autoFilter ref="A1:O15"/>
  <printOptions/>
  <pageMargins left="0.31" right="0.27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D23" sqref="D22:D23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1" width="9.140625" style="2" customWidth="1" outlineLevel="1"/>
    <col min="12" max="12" width="9.8515625" style="15" customWidth="1"/>
    <col min="13" max="13" width="9.8515625" style="2" customWidth="1"/>
    <col min="14" max="14" width="10.28125" style="2" customWidth="1"/>
    <col min="15" max="15" width="10.140625" style="2" customWidth="1"/>
    <col min="16" max="16384" width="9.140625" style="2" customWidth="1"/>
  </cols>
  <sheetData>
    <row r="1" spans="1:15" s="1" customFormat="1" ht="45">
      <c r="A1" s="78" t="s">
        <v>0</v>
      </c>
      <c r="B1" s="78" t="s">
        <v>1</v>
      </c>
      <c r="C1" s="78" t="s">
        <v>2</v>
      </c>
      <c r="D1" s="79" t="s">
        <v>3</v>
      </c>
      <c r="E1" s="78"/>
      <c r="F1" s="78" t="s">
        <v>4</v>
      </c>
      <c r="G1" s="78" t="s">
        <v>5</v>
      </c>
      <c r="H1" s="78" t="s">
        <v>6</v>
      </c>
      <c r="I1" s="78" t="s">
        <v>7</v>
      </c>
      <c r="J1" s="78" t="s">
        <v>8</v>
      </c>
      <c r="K1" s="206" t="s">
        <v>9</v>
      </c>
      <c r="L1" s="214"/>
      <c r="M1" s="201"/>
      <c r="N1" s="201"/>
      <c r="O1" s="201"/>
    </row>
    <row r="2" spans="1:15" ht="11.25">
      <c r="A2" s="10">
        <v>1</v>
      </c>
      <c r="B2" s="10" t="s">
        <v>38</v>
      </c>
      <c r="C2" s="93" t="s">
        <v>38</v>
      </c>
      <c r="D2" s="183" t="s">
        <v>208</v>
      </c>
      <c r="E2" s="10">
        <v>3</v>
      </c>
      <c r="F2" s="42" t="s">
        <v>18</v>
      </c>
      <c r="G2" s="10" t="s">
        <v>10</v>
      </c>
      <c r="H2" s="14">
        <v>420</v>
      </c>
      <c r="I2" s="59">
        <f aca="true" t="shared" si="0" ref="I2:I8">0.017*H2</f>
        <v>7.140000000000001</v>
      </c>
      <c r="J2" s="184" t="s">
        <v>23</v>
      </c>
      <c r="K2" s="210" t="s">
        <v>206</v>
      </c>
      <c r="L2" s="215"/>
      <c r="M2" s="213"/>
      <c r="N2" s="213"/>
      <c r="O2" s="213"/>
    </row>
    <row r="3" spans="1:15" ht="11.25">
      <c r="A3" s="10">
        <v>2</v>
      </c>
      <c r="B3" s="10" t="s">
        <v>38</v>
      </c>
      <c r="C3" s="93" t="s">
        <v>38</v>
      </c>
      <c r="D3" s="183" t="s">
        <v>209</v>
      </c>
      <c r="E3" s="10">
        <v>3</v>
      </c>
      <c r="F3" s="42" t="s">
        <v>18</v>
      </c>
      <c r="G3" s="10" t="s">
        <v>10</v>
      </c>
      <c r="H3" s="14">
        <v>60</v>
      </c>
      <c r="I3" s="59">
        <f t="shared" si="0"/>
        <v>1.02</v>
      </c>
      <c r="J3" s="184" t="s">
        <v>23</v>
      </c>
      <c r="K3" s="210" t="s">
        <v>206</v>
      </c>
      <c r="L3" s="215"/>
      <c r="M3" s="213"/>
      <c r="N3" s="213"/>
      <c r="O3" s="213"/>
    </row>
    <row r="4" spans="1:15" ht="11.25">
      <c r="A4" s="10">
        <v>3</v>
      </c>
      <c r="B4" s="10" t="s">
        <v>38</v>
      </c>
      <c r="C4" s="93" t="s">
        <v>38</v>
      </c>
      <c r="D4" s="183" t="s">
        <v>209</v>
      </c>
      <c r="E4" s="10">
        <v>3</v>
      </c>
      <c r="F4" s="42" t="s">
        <v>18</v>
      </c>
      <c r="G4" s="10" t="s">
        <v>10</v>
      </c>
      <c r="H4" s="181">
        <v>90</v>
      </c>
      <c r="I4" s="59">
        <f t="shared" si="0"/>
        <v>1.53</v>
      </c>
      <c r="J4" s="184" t="s">
        <v>23</v>
      </c>
      <c r="K4" s="210" t="s">
        <v>206</v>
      </c>
      <c r="L4" s="215"/>
      <c r="M4" s="213"/>
      <c r="N4" s="213"/>
      <c r="O4" s="213"/>
    </row>
    <row r="5" spans="1:15" ht="11.25">
      <c r="A5" s="10">
        <v>4</v>
      </c>
      <c r="B5" s="10" t="s">
        <v>38</v>
      </c>
      <c r="C5" s="93" t="s">
        <v>38</v>
      </c>
      <c r="D5" s="94" t="s">
        <v>125</v>
      </c>
      <c r="E5" s="10">
        <v>0</v>
      </c>
      <c r="F5" s="10" t="str">
        <f>IF(E5=2,"budynek gospodarczy","budynek mieszkalny")</f>
        <v>budynek mieszkalny</v>
      </c>
      <c r="G5" s="10" t="s">
        <v>10</v>
      </c>
      <c r="H5" s="14">
        <f>4*2*8</f>
        <v>64</v>
      </c>
      <c r="I5" s="59">
        <f>0.017*H5</f>
        <v>1.088</v>
      </c>
      <c r="J5" s="95" t="s">
        <v>24</v>
      </c>
      <c r="K5" s="211" t="s">
        <v>73</v>
      </c>
      <c r="L5" s="215"/>
      <c r="M5" s="212"/>
      <c r="N5" s="213"/>
      <c r="O5" s="213"/>
    </row>
    <row r="6" spans="1:15" ht="11.25">
      <c r="A6" s="10">
        <v>5</v>
      </c>
      <c r="B6" s="42" t="s">
        <v>38</v>
      </c>
      <c r="C6" s="182" t="s">
        <v>38</v>
      </c>
      <c r="D6" s="183" t="s">
        <v>158</v>
      </c>
      <c r="E6" s="10">
        <v>3</v>
      </c>
      <c r="F6" s="42" t="s">
        <v>18</v>
      </c>
      <c r="G6" s="42" t="s">
        <v>10</v>
      </c>
      <c r="H6" s="14">
        <v>8</v>
      </c>
      <c r="I6" s="59">
        <f>0.017*H6</f>
        <v>0.136</v>
      </c>
      <c r="J6" s="184" t="s">
        <v>23</v>
      </c>
      <c r="K6" s="210" t="s">
        <v>206</v>
      </c>
      <c r="L6" s="215"/>
      <c r="M6" s="212"/>
      <c r="N6" s="213"/>
      <c r="O6" s="213"/>
    </row>
    <row r="7" spans="1:15" ht="11.25">
      <c r="A7" s="10">
        <v>6</v>
      </c>
      <c r="B7" s="10" t="s">
        <v>38</v>
      </c>
      <c r="C7" s="93" t="s">
        <v>38</v>
      </c>
      <c r="D7" s="94" t="s">
        <v>66</v>
      </c>
      <c r="E7" s="10">
        <v>2</v>
      </c>
      <c r="F7" s="10" t="str">
        <f>IF(E7=2,"budynek gospodarczy","budynek mieszkalny")</f>
        <v>budynek gospodarczy</v>
      </c>
      <c r="G7" s="10" t="s">
        <v>10</v>
      </c>
      <c r="H7" s="14">
        <f>4*6</f>
        <v>24</v>
      </c>
      <c r="I7" s="59">
        <f t="shared" si="0"/>
        <v>0.40800000000000003</v>
      </c>
      <c r="J7" s="95" t="s">
        <v>23</v>
      </c>
      <c r="K7" s="211" t="s">
        <v>72</v>
      </c>
      <c r="L7" s="215"/>
      <c r="M7" s="213"/>
      <c r="N7" s="213"/>
      <c r="O7" s="213"/>
    </row>
    <row r="8" spans="1:15" ht="11.25">
      <c r="A8" s="10">
        <v>7</v>
      </c>
      <c r="B8" s="10" t="s">
        <v>38</v>
      </c>
      <c r="C8" s="93" t="s">
        <v>38</v>
      </c>
      <c r="D8" s="94" t="s">
        <v>126</v>
      </c>
      <c r="E8" s="10">
        <v>2</v>
      </c>
      <c r="F8" s="10" t="str">
        <f>IF(E8=2,"budynek gospodarczy","budynek mieszkalny")</f>
        <v>budynek gospodarczy</v>
      </c>
      <c r="G8" s="10" t="s">
        <v>10</v>
      </c>
      <c r="H8" s="14">
        <f>3*4</f>
        <v>12</v>
      </c>
      <c r="I8" s="59">
        <f t="shared" si="0"/>
        <v>0.20400000000000001</v>
      </c>
      <c r="J8" s="95" t="s">
        <v>23</v>
      </c>
      <c r="K8" s="211" t="s">
        <v>72</v>
      </c>
      <c r="L8" s="215"/>
      <c r="M8" s="212"/>
      <c r="N8" s="213"/>
      <c r="O8" s="213"/>
    </row>
    <row r="9" spans="9:11" ht="11.25">
      <c r="I9" s="60"/>
      <c r="J9" s="6"/>
      <c r="K9" s="6"/>
    </row>
    <row r="10" spans="7:11" ht="11.25">
      <c r="G10" s="2" t="s">
        <v>11</v>
      </c>
      <c r="H10" s="13">
        <f>SUM(H2:H8)</f>
        <v>678</v>
      </c>
      <c r="I10" s="61">
        <f>SUM(I2:I8)</f>
        <v>11.525999999999998</v>
      </c>
      <c r="J10" s="7"/>
      <c r="K10" s="7"/>
    </row>
    <row r="12" spans="6:14" ht="11.25">
      <c r="F12" s="8" t="s">
        <v>12</v>
      </c>
      <c r="G12" s="8" t="s">
        <v>13</v>
      </c>
      <c r="H12" s="8" t="s">
        <v>14</v>
      </c>
      <c r="I12" s="8" t="s">
        <v>15</v>
      </c>
      <c r="J12" s="256" t="s">
        <v>232</v>
      </c>
      <c r="K12" s="180" t="s">
        <v>230</v>
      </c>
      <c r="L12" s="180" t="s">
        <v>227</v>
      </c>
      <c r="M12" s="180" t="s">
        <v>228</v>
      </c>
      <c r="N12" s="180" t="s">
        <v>229</v>
      </c>
    </row>
    <row r="13" spans="6:14" ht="11.25">
      <c r="F13" s="10" t="s">
        <v>16</v>
      </c>
      <c r="G13" s="10">
        <v>1</v>
      </c>
      <c r="H13" s="14">
        <f>SUMIF(E$2:I7,E5,H$2:H7)</f>
        <v>64</v>
      </c>
      <c r="I13" s="59">
        <f>SUMIF(E$2:I7,E5,I$2:I7)</f>
        <v>1.088</v>
      </c>
      <c r="J13" s="257"/>
      <c r="K13" s="5"/>
      <c r="L13" s="11"/>
      <c r="M13" s="17">
        <v>64</v>
      </c>
      <c r="N13" s="11"/>
    </row>
    <row r="14" spans="6:14" ht="11.25">
      <c r="F14" s="10" t="s">
        <v>17</v>
      </c>
      <c r="G14" s="10">
        <v>2</v>
      </c>
      <c r="H14" s="14">
        <v>36</v>
      </c>
      <c r="I14" s="59">
        <v>0.612</v>
      </c>
      <c r="J14" s="258"/>
      <c r="K14" s="10"/>
      <c r="L14" s="10">
        <v>36</v>
      </c>
      <c r="M14" s="15"/>
      <c r="N14" s="10"/>
    </row>
    <row r="15" spans="6:14" ht="11.25">
      <c r="F15" s="10" t="s">
        <v>18</v>
      </c>
      <c r="G15" s="10">
        <v>4</v>
      </c>
      <c r="H15" s="14">
        <v>578</v>
      </c>
      <c r="I15" s="59">
        <v>9.826</v>
      </c>
      <c r="J15" s="260"/>
      <c r="K15" s="11">
        <v>578</v>
      </c>
      <c r="L15" s="11"/>
      <c r="M15" s="16"/>
      <c r="N15" s="11"/>
    </row>
    <row r="16" spans="6:14" ht="11.25">
      <c r="F16" s="10" t="s">
        <v>10</v>
      </c>
      <c r="G16" s="10">
        <v>7</v>
      </c>
      <c r="H16" s="14">
        <f>SUMIF(G$2:I8,G3,H$2:H8)</f>
        <v>678</v>
      </c>
      <c r="I16" s="59">
        <f>SUMIF(G$2:I8,G$2,I$2:I8)</f>
        <v>11.525999999999998</v>
      </c>
      <c r="J16" s="257"/>
      <c r="K16" s="59">
        <v>578</v>
      </c>
      <c r="L16" s="59">
        <v>36</v>
      </c>
      <c r="M16" s="62">
        <v>64</v>
      </c>
      <c r="N16" s="59"/>
    </row>
    <row r="17" spans="6:14" ht="11.25">
      <c r="F17" s="10" t="s">
        <v>19</v>
      </c>
      <c r="G17" s="10">
        <v>0</v>
      </c>
      <c r="H17" s="14">
        <f>SUMIF(G$2:I9,#REF!,H$2:H9)</f>
        <v>0</v>
      </c>
      <c r="I17" s="59">
        <f>SUMIF(G$2:I9,#REF!,I$2:I9)</f>
        <v>0</v>
      </c>
      <c r="J17" s="257"/>
      <c r="K17" s="11"/>
      <c r="L17" s="11"/>
      <c r="M17" s="16"/>
      <c r="N17" s="11"/>
    </row>
    <row r="18" spans="6:14" ht="11.25">
      <c r="F18" s="10" t="s">
        <v>20</v>
      </c>
      <c r="G18" s="10">
        <v>0</v>
      </c>
      <c r="H18" s="14">
        <f>SUMIF(G$2:I10,#REF!,H$2:H10)</f>
        <v>0</v>
      </c>
      <c r="I18" s="59">
        <f>SUMIF(G$2:I10,#REF!,I$2:I10)</f>
        <v>0</v>
      </c>
      <c r="J18" s="257"/>
      <c r="K18" s="11"/>
      <c r="L18" s="11"/>
      <c r="M18" s="16"/>
      <c r="N18" s="11"/>
    </row>
    <row r="19" spans="6:14" ht="11.25">
      <c r="F19" s="10" t="s">
        <v>21</v>
      </c>
      <c r="G19" s="10">
        <v>0</v>
      </c>
      <c r="H19" s="12"/>
      <c r="I19" s="12"/>
      <c r="J19" s="257"/>
      <c r="K19" s="11"/>
      <c r="L19" s="11"/>
      <c r="M19" s="16"/>
      <c r="N19" s="11"/>
    </row>
  </sheetData>
  <sheetProtection/>
  <autoFilter ref="A1:O8"/>
  <printOptions/>
  <pageMargins left="0.31" right="0.27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P7" sqref="P7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1" width="9.140625" style="2" customWidth="1" outlineLevel="1"/>
    <col min="12" max="12" width="9.8515625" style="15" customWidth="1"/>
    <col min="13" max="13" width="9.8515625" style="2" customWidth="1"/>
    <col min="14" max="14" width="10.28125" style="2" customWidth="1"/>
    <col min="15" max="15" width="10.140625" style="2" customWidth="1"/>
    <col min="16" max="16384" width="9.140625" style="2" customWidth="1"/>
  </cols>
  <sheetData>
    <row r="1" spans="1:15" s="1" customFormat="1" ht="45">
      <c r="A1" s="78" t="s">
        <v>0</v>
      </c>
      <c r="B1" s="78" t="s">
        <v>1</v>
      </c>
      <c r="C1" s="78" t="s">
        <v>2</v>
      </c>
      <c r="D1" s="79" t="s">
        <v>3</v>
      </c>
      <c r="E1" s="78"/>
      <c r="F1" s="78" t="s">
        <v>4</v>
      </c>
      <c r="G1" s="78" t="s">
        <v>5</v>
      </c>
      <c r="H1" s="78" t="s">
        <v>6</v>
      </c>
      <c r="I1" s="78" t="s">
        <v>7</v>
      </c>
      <c r="J1" s="78" t="s">
        <v>8</v>
      </c>
      <c r="K1" s="206" t="s">
        <v>9</v>
      </c>
      <c r="L1" s="214"/>
      <c r="M1" s="201"/>
      <c r="N1" s="201"/>
      <c r="O1" s="201"/>
    </row>
    <row r="2" spans="1:15" ht="11.25">
      <c r="A2" s="10">
        <v>1</v>
      </c>
      <c r="B2" s="10" t="s">
        <v>44</v>
      </c>
      <c r="C2" s="93"/>
      <c r="D2" s="94" t="s">
        <v>127</v>
      </c>
      <c r="E2" s="10">
        <v>2</v>
      </c>
      <c r="F2" s="10" t="str">
        <f aca="true" t="shared" si="0" ref="F2:F11">IF(E2=2,"budynek gospodarczy","budynek mieszkalny")</f>
        <v>budynek gospodarczy</v>
      </c>
      <c r="G2" s="10" t="s">
        <v>10</v>
      </c>
      <c r="H2" s="14">
        <f>4*4</f>
        <v>16</v>
      </c>
      <c r="I2" s="59">
        <f aca="true" t="shared" si="1" ref="I2:I11">0.017*H2</f>
        <v>0.272</v>
      </c>
      <c r="J2" s="95" t="s">
        <v>23</v>
      </c>
      <c r="K2" s="211" t="s">
        <v>72</v>
      </c>
      <c r="L2" s="215"/>
      <c r="M2" s="213"/>
      <c r="N2" s="213"/>
      <c r="O2" s="213"/>
    </row>
    <row r="3" spans="1:15" ht="11.25">
      <c r="A3" s="10">
        <v>2</v>
      </c>
      <c r="B3" s="10" t="s">
        <v>44</v>
      </c>
      <c r="C3" s="93"/>
      <c r="D3" s="94" t="s">
        <v>127</v>
      </c>
      <c r="E3" s="10">
        <v>2</v>
      </c>
      <c r="F3" s="10" t="str">
        <f t="shared" si="0"/>
        <v>budynek gospodarczy</v>
      </c>
      <c r="G3" s="10" t="s">
        <v>10</v>
      </c>
      <c r="H3" s="14">
        <f>5*12</f>
        <v>60</v>
      </c>
      <c r="I3" s="59">
        <f t="shared" si="1"/>
        <v>1.02</v>
      </c>
      <c r="J3" s="95" t="s">
        <v>26</v>
      </c>
      <c r="K3" s="211" t="s">
        <v>74</v>
      </c>
      <c r="L3" s="215"/>
      <c r="M3" s="213"/>
      <c r="N3" s="213"/>
      <c r="O3" s="213"/>
    </row>
    <row r="4" spans="1:15" ht="11.25">
      <c r="A4" s="10">
        <v>3</v>
      </c>
      <c r="B4" s="10" t="s">
        <v>44</v>
      </c>
      <c r="C4" s="93"/>
      <c r="D4" s="94" t="s">
        <v>127</v>
      </c>
      <c r="E4" s="10">
        <v>2</v>
      </c>
      <c r="F4" s="10" t="str">
        <f t="shared" si="0"/>
        <v>budynek gospodarczy</v>
      </c>
      <c r="G4" s="10" t="s">
        <v>10</v>
      </c>
      <c r="H4" s="14">
        <f>3*8</f>
        <v>24</v>
      </c>
      <c r="I4" s="59">
        <f t="shared" si="1"/>
        <v>0.40800000000000003</v>
      </c>
      <c r="J4" s="95" t="s">
        <v>23</v>
      </c>
      <c r="K4" s="211" t="s">
        <v>72</v>
      </c>
      <c r="L4" s="215"/>
      <c r="M4" s="213"/>
      <c r="N4" s="213"/>
      <c r="O4" s="213"/>
    </row>
    <row r="5" spans="1:15" ht="11.25">
      <c r="A5" s="10">
        <v>4</v>
      </c>
      <c r="B5" s="10" t="s">
        <v>44</v>
      </c>
      <c r="C5" s="93"/>
      <c r="D5" s="94" t="s">
        <v>128</v>
      </c>
      <c r="E5" s="10">
        <v>2</v>
      </c>
      <c r="F5" s="10" t="str">
        <f t="shared" si="0"/>
        <v>budynek gospodarczy</v>
      </c>
      <c r="G5" s="10" t="s">
        <v>10</v>
      </c>
      <c r="H5" s="14">
        <f>(3+2)*5</f>
        <v>25</v>
      </c>
      <c r="I5" s="59">
        <f t="shared" si="1"/>
        <v>0.42500000000000004</v>
      </c>
      <c r="J5" s="95" t="s">
        <v>23</v>
      </c>
      <c r="K5" s="211" t="s">
        <v>72</v>
      </c>
      <c r="L5" s="215"/>
      <c r="M5" s="213"/>
      <c r="N5" s="213"/>
      <c r="O5" s="213"/>
    </row>
    <row r="6" spans="1:15" ht="11.25">
      <c r="A6" s="10">
        <v>5</v>
      </c>
      <c r="B6" s="10" t="s">
        <v>44</v>
      </c>
      <c r="C6" s="93"/>
      <c r="D6" s="94" t="s">
        <v>128</v>
      </c>
      <c r="E6" s="10">
        <v>2</v>
      </c>
      <c r="F6" s="10" t="str">
        <f t="shared" si="0"/>
        <v>budynek gospodarczy</v>
      </c>
      <c r="G6" s="10" t="s">
        <v>10</v>
      </c>
      <c r="H6" s="14">
        <f>4*8</f>
        <v>32</v>
      </c>
      <c r="I6" s="59">
        <f t="shared" si="1"/>
        <v>0.544</v>
      </c>
      <c r="J6" s="95" t="s">
        <v>23</v>
      </c>
      <c r="K6" s="211" t="s">
        <v>72</v>
      </c>
      <c r="L6" s="215"/>
      <c r="M6" s="213"/>
      <c r="N6" s="213"/>
      <c r="O6" s="213"/>
    </row>
    <row r="7" spans="1:15" ht="11.25">
      <c r="A7" s="10">
        <v>6</v>
      </c>
      <c r="B7" s="10" t="s">
        <v>44</v>
      </c>
      <c r="C7" s="93"/>
      <c r="D7" s="94" t="s">
        <v>128</v>
      </c>
      <c r="E7" s="10">
        <v>0</v>
      </c>
      <c r="F7" s="10" t="str">
        <f t="shared" si="0"/>
        <v>budynek mieszkalny</v>
      </c>
      <c r="G7" s="10" t="s">
        <v>10</v>
      </c>
      <c r="H7" s="14">
        <f>6*2*10</f>
        <v>120</v>
      </c>
      <c r="I7" s="59">
        <f t="shared" si="1"/>
        <v>2.04</v>
      </c>
      <c r="J7" s="95" t="s">
        <v>24</v>
      </c>
      <c r="K7" s="211" t="s">
        <v>73</v>
      </c>
      <c r="L7" s="215"/>
      <c r="M7" s="213"/>
      <c r="N7" s="213"/>
      <c r="O7" s="213"/>
    </row>
    <row r="8" spans="1:15" ht="11.25">
      <c r="A8" s="10">
        <v>7</v>
      </c>
      <c r="B8" s="10" t="s">
        <v>44</v>
      </c>
      <c r="C8" s="93"/>
      <c r="D8" s="94" t="s">
        <v>128</v>
      </c>
      <c r="E8" s="10">
        <v>2</v>
      </c>
      <c r="F8" s="10" t="str">
        <f t="shared" si="0"/>
        <v>budynek gospodarczy</v>
      </c>
      <c r="G8" s="10" t="s">
        <v>10</v>
      </c>
      <c r="H8" s="14">
        <f>(4+7)*22</f>
        <v>242</v>
      </c>
      <c r="I8" s="59">
        <f t="shared" si="1"/>
        <v>4.114</v>
      </c>
      <c r="J8" s="95" t="s">
        <v>26</v>
      </c>
      <c r="K8" s="211" t="s">
        <v>74</v>
      </c>
      <c r="L8" s="215"/>
      <c r="M8" s="213"/>
      <c r="N8" s="213"/>
      <c r="O8" s="213"/>
    </row>
    <row r="9" spans="1:15" ht="11.25">
      <c r="A9" s="10">
        <v>8</v>
      </c>
      <c r="B9" s="10" t="s">
        <v>44</v>
      </c>
      <c r="C9" s="93"/>
      <c r="D9" s="94" t="s">
        <v>128</v>
      </c>
      <c r="E9" s="10">
        <v>2</v>
      </c>
      <c r="F9" s="10" t="str">
        <f t="shared" si="0"/>
        <v>budynek gospodarczy</v>
      </c>
      <c r="G9" s="10" t="s">
        <v>10</v>
      </c>
      <c r="H9" s="14">
        <f>3*2*10</f>
        <v>60</v>
      </c>
      <c r="I9" s="59">
        <f t="shared" si="1"/>
        <v>1.02</v>
      </c>
      <c r="J9" s="95" t="s">
        <v>26</v>
      </c>
      <c r="K9" s="211" t="s">
        <v>74</v>
      </c>
      <c r="L9" s="215"/>
      <c r="M9" s="213"/>
      <c r="N9" s="213"/>
      <c r="O9" s="213"/>
    </row>
    <row r="10" spans="1:15" ht="11.25">
      <c r="A10" s="10">
        <v>9</v>
      </c>
      <c r="B10" s="10" t="s">
        <v>44</v>
      </c>
      <c r="C10" s="93"/>
      <c r="D10" s="94" t="s">
        <v>128</v>
      </c>
      <c r="E10" s="10">
        <v>2</v>
      </c>
      <c r="F10" s="10" t="str">
        <f t="shared" si="0"/>
        <v>budynek gospodarczy</v>
      </c>
      <c r="G10" s="10" t="s">
        <v>10</v>
      </c>
      <c r="H10" s="14">
        <f>4*4</f>
        <v>16</v>
      </c>
      <c r="I10" s="59">
        <f t="shared" si="1"/>
        <v>0.272</v>
      </c>
      <c r="J10" s="95" t="s">
        <v>23</v>
      </c>
      <c r="K10" s="211" t="s">
        <v>72</v>
      </c>
      <c r="L10" s="215"/>
      <c r="M10" s="213"/>
      <c r="N10" s="213"/>
      <c r="O10" s="213"/>
    </row>
    <row r="11" spans="1:15" ht="11.25">
      <c r="A11" s="10">
        <v>10</v>
      </c>
      <c r="B11" s="10" t="s">
        <v>44</v>
      </c>
      <c r="C11" s="93"/>
      <c r="D11" s="94" t="s">
        <v>129</v>
      </c>
      <c r="E11" s="10">
        <v>2</v>
      </c>
      <c r="F11" s="10" t="str">
        <f t="shared" si="0"/>
        <v>budynek gospodarczy</v>
      </c>
      <c r="G11" s="10" t="s">
        <v>10</v>
      </c>
      <c r="H11" s="14">
        <f>(4+6)*12</f>
        <v>120</v>
      </c>
      <c r="I11" s="59">
        <f t="shared" si="1"/>
        <v>2.04</v>
      </c>
      <c r="J11" s="95" t="s">
        <v>26</v>
      </c>
      <c r="K11" s="211" t="s">
        <v>74</v>
      </c>
      <c r="L11" s="215"/>
      <c r="M11" s="213"/>
      <c r="N11" s="213"/>
      <c r="O11" s="213"/>
    </row>
    <row r="12" spans="9:11" ht="11.25">
      <c r="I12" s="60"/>
      <c r="J12" s="6"/>
      <c r="K12" s="6"/>
    </row>
    <row r="13" spans="7:11" ht="11.25">
      <c r="G13" s="2" t="s">
        <v>11</v>
      </c>
      <c r="H13" s="13">
        <f>SUM(H2:H11)</f>
        <v>715</v>
      </c>
      <c r="I13" s="61">
        <f>SUM(I2:I11)</f>
        <v>12.155000000000001</v>
      </c>
      <c r="J13" s="7"/>
      <c r="K13" s="7"/>
    </row>
    <row r="14" ht="11.25">
      <c r="I14" s="60"/>
    </row>
    <row r="15" spans="6:14" ht="11.25">
      <c r="F15" s="8" t="s">
        <v>12</v>
      </c>
      <c r="G15" s="8" t="s">
        <v>13</v>
      </c>
      <c r="H15" s="8" t="s">
        <v>14</v>
      </c>
      <c r="I15" s="8" t="s">
        <v>15</v>
      </c>
      <c r="J15" s="256" t="s">
        <v>232</v>
      </c>
      <c r="K15" s="180" t="s">
        <v>233</v>
      </c>
      <c r="L15" s="9" t="s">
        <v>57</v>
      </c>
      <c r="M15" s="9" t="s">
        <v>56</v>
      </c>
      <c r="N15" s="9" t="s">
        <v>55</v>
      </c>
    </row>
    <row r="16" spans="6:14" ht="11.25">
      <c r="F16" s="10" t="s">
        <v>16</v>
      </c>
      <c r="G16" s="10">
        <v>1</v>
      </c>
      <c r="H16" s="14">
        <f>SUMIF(E$2:I11,E7,H$2:H11)</f>
        <v>120</v>
      </c>
      <c r="I16" s="59">
        <f>SUMIF(E$2:I11,E7,I$2:I11)</f>
        <v>2.04</v>
      </c>
      <c r="J16" s="257"/>
      <c r="K16" s="5"/>
      <c r="L16" s="11"/>
      <c r="M16" s="17">
        <v>120</v>
      </c>
      <c r="N16" s="11"/>
    </row>
    <row r="17" spans="6:14" ht="11.25">
      <c r="F17" s="10" t="s">
        <v>17</v>
      </c>
      <c r="G17" s="10">
        <v>9</v>
      </c>
      <c r="H17" s="14">
        <f>SUMIF(E$2:I11,E2,H$2:H11)</f>
        <v>595</v>
      </c>
      <c r="I17" s="59">
        <f>SUMIF(E$2:I11,E2,I$2:I11)</f>
        <v>10.114999999999998</v>
      </c>
      <c r="J17" s="258"/>
      <c r="K17" s="10"/>
      <c r="L17" s="10">
        <v>113</v>
      </c>
      <c r="M17" s="15"/>
      <c r="N17" s="10">
        <v>482</v>
      </c>
    </row>
    <row r="18" spans="6:14" ht="11.25">
      <c r="F18" s="10" t="s">
        <v>18</v>
      </c>
      <c r="G18" s="10">
        <v>0</v>
      </c>
      <c r="H18" s="14"/>
      <c r="I18" s="59"/>
      <c r="J18" s="260"/>
      <c r="K18" s="11"/>
      <c r="L18" s="11"/>
      <c r="M18" s="16"/>
      <c r="N18" s="11"/>
    </row>
    <row r="19" spans="6:14" ht="11.25">
      <c r="F19" s="10" t="s">
        <v>10</v>
      </c>
      <c r="G19" s="10">
        <v>10</v>
      </c>
      <c r="H19" s="14">
        <f>SUMIF(G$2:I11,G3,H$2:H11)</f>
        <v>715</v>
      </c>
      <c r="I19" s="59">
        <f>SUMIF(G$2:I11,G$2,I$2:I11)</f>
        <v>12.155000000000001</v>
      </c>
      <c r="J19" s="257">
        <v>0</v>
      </c>
      <c r="K19" s="59"/>
      <c r="L19" s="59">
        <v>113</v>
      </c>
      <c r="M19" s="62">
        <v>120</v>
      </c>
      <c r="N19" s="59">
        <v>482</v>
      </c>
    </row>
    <row r="20" spans="6:14" ht="11.25">
      <c r="F20" s="10" t="s">
        <v>19</v>
      </c>
      <c r="G20" s="10">
        <v>0</v>
      </c>
      <c r="H20" s="14">
        <f>SUMIF(G$2:I12,#REF!,H$2:H12)</f>
        <v>0</v>
      </c>
      <c r="I20" s="59">
        <f>SUMIF(G$2:I12,#REF!,I$2:I12)</f>
        <v>0</v>
      </c>
      <c r="J20" s="257"/>
      <c r="K20" s="11"/>
      <c r="L20" s="11"/>
      <c r="M20" s="16"/>
      <c r="N20" s="11"/>
    </row>
    <row r="21" spans="6:14" ht="11.25">
      <c r="F21" s="10" t="s">
        <v>20</v>
      </c>
      <c r="G21" s="10">
        <v>0</v>
      </c>
      <c r="H21" s="14">
        <f>SUMIF(G$2:I13,#REF!,H$2:H13)</f>
        <v>0</v>
      </c>
      <c r="I21" s="59">
        <f>SUMIF(G$2:I13,#REF!,I$2:I13)</f>
        <v>0</v>
      </c>
      <c r="J21" s="257"/>
      <c r="K21" s="11"/>
      <c r="L21" s="11"/>
      <c r="M21" s="16"/>
      <c r="N21" s="11"/>
    </row>
    <row r="22" spans="6:14" ht="11.25">
      <c r="F22" s="10" t="s">
        <v>21</v>
      </c>
      <c r="G22" s="10">
        <v>0</v>
      </c>
      <c r="H22" s="12"/>
      <c r="I22" s="59"/>
      <c r="J22" s="257"/>
      <c r="K22" s="11"/>
      <c r="L22" s="11"/>
      <c r="M22" s="16"/>
      <c r="N22" s="11"/>
    </row>
  </sheetData>
  <sheetProtection/>
  <autoFilter ref="A1:O11"/>
  <printOptions/>
  <pageMargins left="0.31" right="0.27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N9" sqref="N9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1" width="9.140625" style="2" customWidth="1" outlineLevel="1"/>
    <col min="12" max="12" width="9.8515625" style="15" customWidth="1"/>
    <col min="13" max="13" width="9.8515625" style="2" customWidth="1"/>
    <col min="14" max="14" width="10.28125" style="2" customWidth="1"/>
    <col min="15" max="15" width="10.140625" style="2" customWidth="1"/>
    <col min="16" max="16384" width="9.140625" style="2" customWidth="1"/>
  </cols>
  <sheetData>
    <row r="1" spans="1:15" s="1" customFormat="1" ht="45">
      <c r="A1" s="97" t="s">
        <v>0</v>
      </c>
      <c r="B1" s="97" t="s">
        <v>1</v>
      </c>
      <c r="C1" s="97" t="s">
        <v>2</v>
      </c>
      <c r="D1" s="98" t="s">
        <v>3</v>
      </c>
      <c r="E1" s="97"/>
      <c r="F1" s="97" t="s">
        <v>4</v>
      </c>
      <c r="G1" s="97" t="s">
        <v>5</v>
      </c>
      <c r="H1" s="97" t="s">
        <v>6</v>
      </c>
      <c r="I1" s="97" t="s">
        <v>7</v>
      </c>
      <c r="J1" s="97" t="s">
        <v>8</v>
      </c>
      <c r="K1" s="216" t="s">
        <v>9</v>
      </c>
      <c r="L1" s="224"/>
      <c r="M1" s="220"/>
      <c r="N1" s="220"/>
      <c r="O1" s="220"/>
    </row>
    <row r="2" spans="1:15" s="63" customFormat="1" ht="17.25" customHeight="1">
      <c r="A2" s="99">
        <v>1</v>
      </c>
      <c r="B2" s="99" t="s">
        <v>41</v>
      </c>
      <c r="C2" s="100" t="s">
        <v>41</v>
      </c>
      <c r="D2" s="101" t="s">
        <v>65</v>
      </c>
      <c r="E2" s="99">
        <v>2</v>
      </c>
      <c r="F2" s="99" t="str">
        <f aca="true" t="shared" si="0" ref="F2:F29">IF(E2=2,"budynek gospodarczy","budynek mieszkalny")</f>
        <v>budynek gospodarczy</v>
      </c>
      <c r="G2" s="99" t="s">
        <v>10</v>
      </c>
      <c r="H2" s="102">
        <f>7*2*12</f>
        <v>168</v>
      </c>
      <c r="I2" s="103">
        <f>0.017*H2</f>
        <v>2.8560000000000003</v>
      </c>
      <c r="J2" s="104" t="s">
        <v>26</v>
      </c>
      <c r="K2" s="217" t="s">
        <v>74</v>
      </c>
      <c r="L2" s="225"/>
      <c r="M2" s="221"/>
      <c r="N2" s="222"/>
      <c r="O2" s="222"/>
    </row>
    <row r="3" spans="1:15" s="63" customFormat="1" ht="17.25" customHeight="1">
      <c r="A3" s="99">
        <f>A2+1</f>
        <v>2</v>
      </c>
      <c r="B3" s="99" t="s">
        <v>41</v>
      </c>
      <c r="C3" s="100" t="s">
        <v>41</v>
      </c>
      <c r="D3" s="101" t="s">
        <v>65</v>
      </c>
      <c r="E3" s="99">
        <v>2</v>
      </c>
      <c r="F3" s="99" t="str">
        <f t="shared" si="0"/>
        <v>budynek gospodarczy</v>
      </c>
      <c r="G3" s="99" t="s">
        <v>10</v>
      </c>
      <c r="H3" s="102">
        <f>7*2*15</f>
        <v>210</v>
      </c>
      <c r="I3" s="103">
        <f>0.017*H3</f>
        <v>3.5700000000000003</v>
      </c>
      <c r="J3" s="104" t="s">
        <v>26</v>
      </c>
      <c r="K3" s="217" t="s">
        <v>74</v>
      </c>
      <c r="L3" s="225"/>
      <c r="M3" s="221"/>
      <c r="N3" s="222"/>
      <c r="O3" s="222"/>
    </row>
    <row r="4" spans="1:15" s="63" customFormat="1" ht="15.75" customHeight="1">
      <c r="A4" s="99">
        <f aca="true" t="shared" si="1" ref="A4:A28">A3+1</f>
        <v>3</v>
      </c>
      <c r="B4" s="99" t="s">
        <v>41</v>
      </c>
      <c r="C4" s="100" t="s">
        <v>41</v>
      </c>
      <c r="D4" s="101" t="s">
        <v>65</v>
      </c>
      <c r="E4" s="99">
        <v>2</v>
      </c>
      <c r="F4" s="99" t="str">
        <f t="shared" si="0"/>
        <v>budynek gospodarczy</v>
      </c>
      <c r="G4" s="99" t="s">
        <v>10</v>
      </c>
      <c r="H4" s="102">
        <f>7*2*24</f>
        <v>336</v>
      </c>
      <c r="I4" s="103">
        <f>0.017*H4</f>
        <v>5.712000000000001</v>
      </c>
      <c r="J4" s="104" t="s">
        <v>26</v>
      </c>
      <c r="K4" s="217" t="s">
        <v>74</v>
      </c>
      <c r="L4" s="225"/>
      <c r="M4" s="221"/>
      <c r="N4" s="222"/>
      <c r="O4" s="222"/>
    </row>
    <row r="5" spans="1:15" s="63" customFormat="1" ht="15.75" customHeight="1">
      <c r="A5" s="99">
        <f t="shared" si="1"/>
        <v>4</v>
      </c>
      <c r="B5" s="99" t="s">
        <v>41</v>
      </c>
      <c r="C5" s="100" t="s">
        <v>41</v>
      </c>
      <c r="D5" s="101" t="s">
        <v>65</v>
      </c>
      <c r="E5" s="99">
        <v>2</v>
      </c>
      <c r="F5" s="99" t="str">
        <f t="shared" si="0"/>
        <v>budynek gospodarczy</v>
      </c>
      <c r="G5" s="99" t="s">
        <v>10</v>
      </c>
      <c r="H5" s="105">
        <f>5*6</f>
        <v>30</v>
      </c>
      <c r="I5" s="103">
        <f>0.017*H5</f>
        <v>0.51</v>
      </c>
      <c r="J5" s="104" t="s">
        <v>23</v>
      </c>
      <c r="K5" s="217" t="s">
        <v>72</v>
      </c>
      <c r="L5" s="225"/>
      <c r="M5" s="221"/>
      <c r="N5" s="222"/>
      <c r="O5" s="222"/>
    </row>
    <row r="6" spans="1:15" s="63" customFormat="1" ht="16.5" customHeight="1">
      <c r="A6" s="99">
        <f t="shared" si="1"/>
        <v>5</v>
      </c>
      <c r="B6" s="99" t="s">
        <v>41</v>
      </c>
      <c r="C6" s="100" t="s">
        <v>41</v>
      </c>
      <c r="D6" s="101" t="s">
        <v>65</v>
      </c>
      <c r="E6" s="99">
        <v>2</v>
      </c>
      <c r="F6" s="99" t="str">
        <f t="shared" si="0"/>
        <v>budynek gospodarczy</v>
      </c>
      <c r="G6" s="99" t="s">
        <v>10</v>
      </c>
      <c r="H6" s="105">
        <f>5*10</f>
        <v>50</v>
      </c>
      <c r="I6" s="103">
        <f>0.017*H6</f>
        <v>0.8500000000000001</v>
      </c>
      <c r="J6" s="104" t="s">
        <v>26</v>
      </c>
      <c r="K6" s="217" t="s">
        <v>74</v>
      </c>
      <c r="L6" s="225"/>
      <c r="M6" s="221"/>
      <c r="N6" s="222"/>
      <c r="O6" s="222"/>
    </row>
    <row r="7" spans="1:15" s="63" customFormat="1" ht="16.5" customHeight="1">
      <c r="A7" s="99">
        <v>6</v>
      </c>
      <c r="B7" s="99" t="s">
        <v>41</v>
      </c>
      <c r="C7" s="100" t="s">
        <v>41</v>
      </c>
      <c r="D7" s="101" t="s">
        <v>130</v>
      </c>
      <c r="E7" s="99">
        <v>2</v>
      </c>
      <c r="F7" s="99" t="str">
        <f t="shared" si="0"/>
        <v>budynek gospodarczy</v>
      </c>
      <c r="G7" s="99" t="s">
        <v>10</v>
      </c>
      <c r="H7" s="105">
        <f>3.5*4</f>
        <v>14</v>
      </c>
      <c r="I7" s="103">
        <f aca="true" t="shared" si="2" ref="I7:I32">0.017*H7</f>
        <v>0.23800000000000002</v>
      </c>
      <c r="J7" s="104" t="s">
        <v>23</v>
      </c>
      <c r="K7" s="217" t="s">
        <v>72</v>
      </c>
      <c r="L7" s="225"/>
      <c r="M7" s="221"/>
      <c r="N7" s="222"/>
      <c r="O7" s="222"/>
    </row>
    <row r="8" spans="1:15" s="63" customFormat="1" ht="15" customHeight="1">
      <c r="A8" s="99">
        <f t="shared" si="1"/>
        <v>7</v>
      </c>
      <c r="B8" s="99" t="s">
        <v>41</v>
      </c>
      <c r="C8" s="100" t="s">
        <v>41</v>
      </c>
      <c r="D8" s="101" t="s">
        <v>130</v>
      </c>
      <c r="E8" s="99">
        <v>2</v>
      </c>
      <c r="F8" s="99" t="str">
        <f t="shared" si="0"/>
        <v>budynek gospodarczy</v>
      </c>
      <c r="G8" s="99" t="s">
        <v>10</v>
      </c>
      <c r="H8" s="105">
        <f>3*3</f>
        <v>9</v>
      </c>
      <c r="I8" s="103">
        <f t="shared" si="2"/>
        <v>0.15300000000000002</v>
      </c>
      <c r="J8" s="104" t="s">
        <v>23</v>
      </c>
      <c r="K8" s="217" t="s">
        <v>72</v>
      </c>
      <c r="L8" s="225"/>
      <c r="M8" s="221"/>
      <c r="N8" s="222"/>
      <c r="O8" s="222"/>
    </row>
    <row r="9" spans="1:15" s="63" customFormat="1" ht="16.5" customHeight="1">
      <c r="A9" s="99">
        <f t="shared" si="1"/>
        <v>8</v>
      </c>
      <c r="B9" s="99" t="s">
        <v>41</v>
      </c>
      <c r="C9" s="100" t="s">
        <v>41</v>
      </c>
      <c r="D9" s="101" t="s">
        <v>131</v>
      </c>
      <c r="E9" s="99">
        <v>2</v>
      </c>
      <c r="F9" s="99" t="str">
        <f t="shared" si="0"/>
        <v>budynek gospodarczy</v>
      </c>
      <c r="G9" s="99" t="s">
        <v>10</v>
      </c>
      <c r="H9" s="105">
        <f>5*5</f>
        <v>25</v>
      </c>
      <c r="I9" s="103">
        <f t="shared" si="2"/>
        <v>0.42500000000000004</v>
      </c>
      <c r="J9" s="104" t="s">
        <v>23</v>
      </c>
      <c r="K9" s="217" t="s">
        <v>72</v>
      </c>
      <c r="L9" s="225"/>
      <c r="M9" s="221"/>
      <c r="N9" s="222"/>
      <c r="O9" s="222"/>
    </row>
    <row r="10" spans="1:15" s="63" customFormat="1" ht="15.75" customHeight="1">
      <c r="A10" s="99">
        <f t="shared" si="1"/>
        <v>9</v>
      </c>
      <c r="B10" s="99" t="s">
        <v>41</v>
      </c>
      <c r="C10" s="100" t="s">
        <v>41</v>
      </c>
      <c r="D10" s="101" t="s">
        <v>131</v>
      </c>
      <c r="E10" s="99">
        <v>2</v>
      </c>
      <c r="F10" s="99" t="str">
        <f t="shared" si="0"/>
        <v>budynek gospodarczy</v>
      </c>
      <c r="G10" s="99" t="s">
        <v>10</v>
      </c>
      <c r="H10" s="105">
        <f>3*3</f>
        <v>9</v>
      </c>
      <c r="I10" s="103">
        <f t="shared" si="2"/>
        <v>0.15300000000000002</v>
      </c>
      <c r="J10" s="104" t="s">
        <v>23</v>
      </c>
      <c r="K10" s="217" t="s">
        <v>72</v>
      </c>
      <c r="L10" s="225"/>
      <c r="M10" s="221"/>
      <c r="N10" s="222"/>
      <c r="O10" s="222"/>
    </row>
    <row r="11" spans="1:15" s="63" customFormat="1" ht="11.25">
      <c r="A11" s="99">
        <f t="shared" si="1"/>
        <v>10</v>
      </c>
      <c r="B11" s="99" t="s">
        <v>41</v>
      </c>
      <c r="C11" s="100" t="s">
        <v>41</v>
      </c>
      <c r="D11" s="101" t="s">
        <v>132</v>
      </c>
      <c r="E11" s="99">
        <v>2</v>
      </c>
      <c r="F11" s="99" t="str">
        <f t="shared" si="0"/>
        <v>budynek gospodarczy</v>
      </c>
      <c r="G11" s="99" t="s">
        <v>10</v>
      </c>
      <c r="H11" s="105">
        <f>2*3</f>
        <v>6</v>
      </c>
      <c r="I11" s="103">
        <f t="shared" si="2"/>
        <v>0.10200000000000001</v>
      </c>
      <c r="J11" s="104" t="s">
        <v>23</v>
      </c>
      <c r="K11" s="217" t="s">
        <v>72</v>
      </c>
      <c r="L11" s="225"/>
      <c r="M11" s="221"/>
      <c r="N11" s="222"/>
      <c r="O11" s="222"/>
    </row>
    <row r="12" spans="1:15" s="63" customFormat="1" ht="11.25">
      <c r="A12" s="99">
        <f t="shared" si="1"/>
        <v>11</v>
      </c>
      <c r="B12" s="99" t="s">
        <v>41</v>
      </c>
      <c r="C12" s="100" t="s">
        <v>41</v>
      </c>
      <c r="D12" s="101" t="s">
        <v>133</v>
      </c>
      <c r="E12" s="99">
        <v>2</v>
      </c>
      <c r="F12" s="99" t="str">
        <f t="shared" si="0"/>
        <v>budynek gospodarczy</v>
      </c>
      <c r="G12" s="99" t="s">
        <v>10</v>
      </c>
      <c r="H12" s="105">
        <f>3*2*8</f>
        <v>48</v>
      </c>
      <c r="I12" s="103">
        <f t="shared" si="2"/>
        <v>0.8160000000000001</v>
      </c>
      <c r="J12" s="104" t="s">
        <v>23</v>
      </c>
      <c r="K12" s="217" t="s">
        <v>72</v>
      </c>
      <c r="L12" s="225"/>
      <c r="M12" s="221"/>
      <c r="N12" s="222"/>
      <c r="O12" s="222"/>
    </row>
    <row r="13" spans="1:15" s="63" customFormat="1" ht="11.25">
      <c r="A13" s="99">
        <f t="shared" si="1"/>
        <v>12</v>
      </c>
      <c r="B13" s="99" t="s">
        <v>41</v>
      </c>
      <c r="C13" s="100" t="s">
        <v>41</v>
      </c>
      <c r="D13" s="101" t="s">
        <v>134</v>
      </c>
      <c r="E13" s="99">
        <v>2</v>
      </c>
      <c r="F13" s="99" t="str">
        <f t="shared" si="0"/>
        <v>budynek gospodarczy</v>
      </c>
      <c r="G13" s="99" t="s">
        <v>10</v>
      </c>
      <c r="H13" s="105">
        <f>5*4</f>
        <v>20</v>
      </c>
      <c r="I13" s="103">
        <f t="shared" si="2"/>
        <v>0.34</v>
      </c>
      <c r="J13" s="104" t="s">
        <v>23</v>
      </c>
      <c r="K13" s="217" t="s">
        <v>72</v>
      </c>
      <c r="L13" s="225"/>
      <c r="M13" s="221"/>
      <c r="N13" s="222"/>
      <c r="O13" s="222"/>
    </row>
    <row r="14" spans="1:15" s="63" customFormat="1" ht="11.25">
      <c r="A14" s="99">
        <f t="shared" si="1"/>
        <v>13</v>
      </c>
      <c r="B14" s="99" t="s">
        <v>41</v>
      </c>
      <c r="C14" s="100" t="s">
        <v>41</v>
      </c>
      <c r="D14" s="101" t="s">
        <v>135</v>
      </c>
      <c r="E14" s="99">
        <v>2</v>
      </c>
      <c r="F14" s="99" t="str">
        <f t="shared" si="0"/>
        <v>budynek gospodarczy</v>
      </c>
      <c r="G14" s="99" t="s">
        <v>10</v>
      </c>
      <c r="H14" s="105">
        <f>4*7</f>
        <v>28</v>
      </c>
      <c r="I14" s="103">
        <f t="shared" si="2"/>
        <v>0.47600000000000003</v>
      </c>
      <c r="J14" s="104" t="s">
        <v>23</v>
      </c>
      <c r="K14" s="217" t="s">
        <v>72</v>
      </c>
      <c r="L14" s="225"/>
      <c r="M14" s="221"/>
      <c r="N14" s="222"/>
      <c r="O14" s="222"/>
    </row>
    <row r="15" spans="1:15" s="63" customFormat="1" ht="17.25" customHeight="1">
      <c r="A15" s="99">
        <v>14</v>
      </c>
      <c r="B15" s="99" t="s">
        <v>41</v>
      </c>
      <c r="C15" s="100" t="s">
        <v>41</v>
      </c>
      <c r="D15" s="101" t="s">
        <v>136</v>
      </c>
      <c r="E15" s="99">
        <v>2</v>
      </c>
      <c r="F15" s="99" t="str">
        <f t="shared" si="0"/>
        <v>budynek gospodarczy</v>
      </c>
      <c r="G15" s="99" t="s">
        <v>10</v>
      </c>
      <c r="H15" s="105">
        <f>4*10</f>
        <v>40</v>
      </c>
      <c r="I15" s="103">
        <f t="shared" si="2"/>
        <v>0.68</v>
      </c>
      <c r="J15" s="104" t="s">
        <v>23</v>
      </c>
      <c r="K15" s="217" t="s">
        <v>72</v>
      </c>
      <c r="L15" s="225"/>
      <c r="M15" s="221"/>
      <c r="N15" s="222"/>
      <c r="O15" s="222"/>
    </row>
    <row r="16" spans="1:15" s="76" customFormat="1" ht="15" customHeight="1">
      <c r="A16" s="99">
        <f>A15+1</f>
        <v>15</v>
      </c>
      <c r="B16" s="99" t="s">
        <v>41</v>
      </c>
      <c r="C16" s="100" t="s">
        <v>41</v>
      </c>
      <c r="D16" s="101" t="s">
        <v>136</v>
      </c>
      <c r="E16" s="99">
        <v>2</v>
      </c>
      <c r="F16" s="99" t="str">
        <f t="shared" si="0"/>
        <v>budynek gospodarczy</v>
      </c>
      <c r="G16" s="99" t="s">
        <v>10</v>
      </c>
      <c r="H16" s="105">
        <v>48</v>
      </c>
      <c r="I16" s="103">
        <f t="shared" si="2"/>
        <v>0.8160000000000001</v>
      </c>
      <c r="J16" s="104" t="s">
        <v>26</v>
      </c>
      <c r="K16" s="217" t="s">
        <v>72</v>
      </c>
      <c r="L16" s="225"/>
      <c r="M16" s="221"/>
      <c r="N16" s="222"/>
      <c r="O16" s="222"/>
    </row>
    <row r="17" spans="1:15" s="76" customFormat="1" ht="11.25">
      <c r="A17" s="99">
        <v>16</v>
      </c>
      <c r="B17" s="190" t="s">
        <v>41</v>
      </c>
      <c r="C17" s="191" t="s">
        <v>41</v>
      </c>
      <c r="D17" s="192" t="s">
        <v>117</v>
      </c>
      <c r="E17" s="99">
        <v>2</v>
      </c>
      <c r="F17" s="99" t="str">
        <f t="shared" si="0"/>
        <v>budynek gospodarczy</v>
      </c>
      <c r="G17" s="190" t="s">
        <v>10</v>
      </c>
      <c r="H17" s="105">
        <v>160</v>
      </c>
      <c r="I17" s="103">
        <f t="shared" si="2"/>
        <v>2.72</v>
      </c>
      <c r="J17" s="193" t="s">
        <v>23</v>
      </c>
      <c r="K17" s="218" t="s">
        <v>206</v>
      </c>
      <c r="L17" s="225"/>
      <c r="M17" s="221"/>
      <c r="N17" s="222"/>
      <c r="O17" s="222"/>
    </row>
    <row r="18" spans="1:15" s="76" customFormat="1" ht="11.25">
      <c r="A18" s="99">
        <v>17</v>
      </c>
      <c r="B18" s="190" t="s">
        <v>41</v>
      </c>
      <c r="C18" s="191" t="s">
        <v>41</v>
      </c>
      <c r="D18" s="192" t="s">
        <v>137</v>
      </c>
      <c r="E18" s="99">
        <v>3</v>
      </c>
      <c r="F18" s="194" t="s">
        <v>18</v>
      </c>
      <c r="G18" s="190" t="s">
        <v>10</v>
      </c>
      <c r="H18" s="105">
        <v>240</v>
      </c>
      <c r="I18" s="103">
        <f t="shared" si="2"/>
        <v>4.08</v>
      </c>
      <c r="J18" s="193" t="s">
        <v>23</v>
      </c>
      <c r="K18" s="218" t="s">
        <v>206</v>
      </c>
      <c r="L18" s="225"/>
      <c r="M18" s="221"/>
      <c r="N18" s="222"/>
      <c r="O18" s="222"/>
    </row>
    <row r="19" spans="1:15" s="63" customFormat="1" ht="11.25">
      <c r="A19" s="99">
        <v>18</v>
      </c>
      <c r="B19" s="99" t="s">
        <v>41</v>
      </c>
      <c r="C19" s="100" t="s">
        <v>41</v>
      </c>
      <c r="D19" s="101" t="s">
        <v>137</v>
      </c>
      <c r="E19" s="99">
        <v>2</v>
      </c>
      <c r="F19" s="99" t="str">
        <f t="shared" si="0"/>
        <v>budynek gospodarczy</v>
      </c>
      <c r="G19" s="99" t="s">
        <v>10</v>
      </c>
      <c r="H19" s="105">
        <f>3*10</f>
        <v>30</v>
      </c>
      <c r="I19" s="103">
        <f t="shared" si="2"/>
        <v>0.51</v>
      </c>
      <c r="J19" s="104" t="s">
        <v>23</v>
      </c>
      <c r="K19" s="217" t="s">
        <v>72</v>
      </c>
      <c r="L19" s="225"/>
      <c r="M19" s="221"/>
      <c r="N19" s="222"/>
      <c r="O19" s="222"/>
    </row>
    <row r="20" spans="1:15" s="63" customFormat="1" ht="18" customHeight="1">
      <c r="A20" s="99">
        <f t="shared" si="1"/>
        <v>19</v>
      </c>
      <c r="B20" s="99" t="s">
        <v>41</v>
      </c>
      <c r="C20" s="100" t="s">
        <v>41</v>
      </c>
      <c r="D20" s="101" t="s">
        <v>138</v>
      </c>
      <c r="E20" s="99">
        <v>2</v>
      </c>
      <c r="F20" s="99" t="str">
        <f t="shared" si="0"/>
        <v>budynek gospodarczy</v>
      </c>
      <c r="G20" s="99" t="s">
        <v>10</v>
      </c>
      <c r="H20" s="105">
        <f>(2*3)+1</f>
        <v>7</v>
      </c>
      <c r="I20" s="103">
        <f t="shared" si="2"/>
        <v>0.11900000000000001</v>
      </c>
      <c r="J20" s="104" t="s">
        <v>23</v>
      </c>
      <c r="K20" s="217" t="s">
        <v>72</v>
      </c>
      <c r="L20" s="225"/>
      <c r="M20" s="221"/>
      <c r="N20" s="222"/>
      <c r="O20" s="222"/>
    </row>
    <row r="21" spans="1:15" s="63" customFormat="1" ht="14.25" customHeight="1">
      <c r="A21" s="99">
        <f t="shared" si="1"/>
        <v>20</v>
      </c>
      <c r="B21" s="99" t="s">
        <v>41</v>
      </c>
      <c r="C21" s="100" t="s">
        <v>41</v>
      </c>
      <c r="D21" s="101" t="s">
        <v>138</v>
      </c>
      <c r="E21" s="99">
        <v>2</v>
      </c>
      <c r="F21" s="99" t="str">
        <f t="shared" si="0"/>
        <v>budynek gospodarczy</v>
      </c>
      <c r="G21" s="99" t="s">
        <v>10</v>
      </c>
      <c r="H21" s="105">
        <f>5*10</f>
        <v>50</v>
      </c>
      <c r="I21" s="103">
        <f t="shared" si="2"/>
        <v>0.8500000000000001</v>
      </c>
      <c r="J21" s="104" t="s">
        <v>26</v>
      </c>
      <c r="K21" s="217" t="s">
        <v>74</v>
      </c>
      <c r="L21" s="225"/>
      <c r="M21" s="221"/>
      <c r="N21" s="222"/>
      <c r="O21" s="222"/>
    </row>
    <row r="22" spans="1:15" s="76" customFormat="1" ht="11.25">
      <c r="A22" s="99">
        <f t="shared" si="1"/>
        <v>21</v>
      </c>
      <c r="B22" s="99" t="s">
        <v>41</v>
      </c>
      <c r="C22" s="100" t="s">
        <v>41</v>
      </c>
      <c r="D22" s="101" t="s">
        <v>204</v>
      </c>
      <c r="E22" s="99">
        <v>2</v>
      </c>
      <c r="F22" s="99" t="str">
        <f t="shared" si="0"/>
        <v>budynek gospodarczy</v>
      </c>
      <c r="G22" s="99" t="s">
        <v>10</v>
      </c>
      <c r="H22" s="105">
        <f>4.5*2*16</f>
        <v>144</v>
      </c>
      <c r="I22" s="103">
        <f t="shared" si="2"/>
        <v>2.4480000000000004</v>
      </c>
      <c r="J22" s="104" t="s">
        <v>26</v>
      </c>
      <c r="K22" s="217" t="s">
        <v>74</v>
      </c>
      <c r="L22" s="225"/>
      <c r="M22" s="221"/>
      <c r="N22" s="222"/>
      <c r="O22" s="222"/>
    </row>
    <row r="23" spans="1:15" s="76" customFormat="1" ht="11.25">
      <c r="A23" s="99">
        <v>22</v>
      </c>
      <c r="B23" s="99" t="s">
        <v>41</v>
      </c>
      <c r="C23" s="100" t="s">
        <v>41</v>
      </c>
      <c r="D23" s="101" t="s">
        <v>139</v>
      </c>
      <c r="E23" s="99">
        <v>2</v>
      </c>
      <c r="F23" s="99" t="str">
        <f t="shared" si="0"/>
        <v>budynek gospodarczy</v>
      </c>
      <c r="G23" s="99" t="s">
        <v>10</v>
      </c>
      <c r="H23" s="105">
        <f>2*5</f>
        <v>10</v>
      </c>
      <c r="I23" s="103">
        <f t="shared" si="2"/>
        <v>0.17</v>
      </c>
      <c r="J23" s="104" t="s">
        <v>23</v>
      </c>
      <c r="K23" s="217" t="s">
        <v>72</v>
      </c>
      <c r="L23" s="225"/>
      <c r="M23" s="221"/>
      <c r="N23" s="222"/>
      <c r="O23" s="222"/>
    </row>
    <row r="24" spans="1:15" s="76" customFormat="1" ht="11.25">
      <c r="A24" s="99">
        <v>23</v>
      </c>
      <c r="B24" s="190" t="s">
        <v>41</v>
      </c>
      <c r="C24" s="191" t="s">
        <v>41</v>
      </c>
      <c r="D24" s="192" t="s">
        <v>162</v>
      </c>
      <c r="E24" s="99">
        <v>3</v>
      </c>
      <c r="F24" s="194" t="s">
        <v>18</v>
      </c>
      <c r="G24" s="190" t="s">
        <v>10</v>
      </c>
      <c r="H24" s="105">
        <v>32</v>
      </c>
      <c r="I24" s="103">
        <f t="shared" si="2"/>
        <v>0.544</v>
      </c>
      <c r="J24" s="193" t="s">
        <v>23</v>
      </c>
      <c r="K24" s="218" t="s">
        <v>206</v>
      </c>
      <c r="L24" s="225"/>
      <c r="M24" s="221"/>
      <c r="N24" s="222"/>
      <c r="O24" s="222"/>
    </row>
    <row r="25" spans="1:15" s="76" customFormat="1" ht="11.25">
      <c r="A25" s="99">
        <v>24</v>
      </c>
      <c r="B25" s="99" t="s">
        <v>41</v>
      </c>
      <c r="C25" s="100" t="s">
        <v>41</v>
      </c>
      <c r="D25" s="101" t="s">
        <v>71</v>
      </c>
      <c r="E25" s="99">
        <v>3</v>
      </c>
      <c r="F25" s="194" t="s">
        <v>18</v>
      </c>
      <c r="G25" s="99" t="s">
        <v>10</v>
      </c>
      <c r="H25" s="105">
        <v>275</v>
      </c>
      <c r="I25" s="103">
        <f t="shared" si="2"/>
        <v>4.675000000000001</v>
      </c>
      <c r="J25" s="193" t="s">
        <v>23</v>
      </c>
      <c r="K25" s="218" t="s">
        <v>206</v>
      </c>
      <c r="L25" s="225"/>
      <c r="M25" s="221"/>
      <c r="N25" s="222"/>
      <c r="O25" s="222"/>
    </row>
    <row r="26" spans="1:15" s="63" customFormat="1" ht="11.25">
      <c r="A26" s="99">
        <f t="shared" si="1"/>
        <v>25</v>
      </c>
      <c r="B26" s="99" t="s">
        <v>41</v>
      </c>
      <c r="C26" s="100" t="s">
        <v>41</v>
      </c>
      <c r="D26" s="101" t="s">
        <v>140</v>
      </c>
      <c r="E26" s="99">
        <v>2</v>
      </c>
      <c r="F26" s="268" t="str">
        <f t="shared" si="0"/>
        <v>budynek gospodarczy</v>
      </c>
      <c r="G26" s="99" t="s">
        <v>10</v>
      </c>
      <c r="H26" s="105">
        <v>290</v>
      </c>
      <c r="I26" s="103">
        <f t="shared" si="2"/>
        <v>4.930000000000001</v>
      </c>
      <c r="J26" s="104" t="s">
        <v>26</v>
      </c>
      <c r="K26" s="218" t="s">
        <v>206</v>
      </c>
      <c r="L26" s="225"/>
      <c r="M26" s="221"/>
      <c r="N26" s="222"/>
      <c r="O26" s="222"/>
    </row>
    <row r="27" spans="1:15" s="63" customFormat="1" ht="11.25">
      <c r="A27" s="99">
        <f t="shared" si="1"/>
        <v>26</v>
      </c>
      <c r="B27" s="99" t="s">
        <v>41</v>
      </c>
      <c r="C27" s="100" t="s">
        <v>41</v>
      </c>
      <c r="D27" s="101" t="s">
        <v>42</v>
      </c>
      <c r="E27" s="99">
        <v>2</v>
      </c>
      <c r="F27" s="99" t="str">
        <f t="shared" si="0"/>
        <v>budynek gospodarczy</v>
      </c>
      <c r="G27" s="99" t="s">
        <v>10</v>
      </c>
      <c r="H27" s="105">
        <f>4*2*20</f>
        <v>160</v>
      </c>
      <c r="I27" s="103">
        <f t="shared" si="2"/>
        <v>2.72</v>
      </c>
      <c r="J27" s="104" t="s">
        <v>26</v>
      </c>
      <c r="K27" s="217" t="s">
        <v>74</v>
      </c>
      <c r="L27" s="225"/>
      <c r="M27" s="221"/>
      <c r="N27" s="222"/>
      <c r="O27" s="222"/>
    </row>
    <row r="28" spans="1:15" s="63" customFormat="1" ht="11.25">
      <c r="A28" s="99">
        <f t="shared" si="1"/>
        <v>27</v>
      </c>
      <c r="B28" s="99" t="s">
        <v>41</v>
      </c>
      <c r="C28" s="100" t="s">
        <v>41</v>
      </c>
      <c r="D28" s="101" t="s">
        <v>42</v>
      </c>
      <c r="E28" s="99">
        <v>2</v>
      </c>
      <c r="F28" s="99" t="str">
        <f t="shared" si="0"/>
        <v>budynek gospodarczy</v>
      </c>
      <c r="G28" s="99" t="s">
        <v>10</v>
      </c>
      <c r="H28" s="105">
        <f>1*2*2</f>
        <v>4</v>
      </c>
      <c r="I28" s="103">
        <f t="shared" si="2"/>
        <v>0.068</v>
      </c>
      <c r="J28" s="104" t="s">
        <v>23</v>
      </c>
      <c r="K28" s="217" t="s">
        <v>72</v>
      </c>
      <c r="L28" s="225"/>
      <c r="M28" s="221"/>
      <c r="N28" s="222"/>
      <c r="O28" s="222"/>
    </row>
    <row r="29" spans="1:15" s="63" customFormat="1" ht="15.75" customHeight="1">
      <c r="A29" s="99">
        <v>28</v>
      </c>
      <c r="B29" s="99" t="s">
        <v>41</v>
      </c>
      <c r="C29" s="100" t="s">
        <v>41</v>
      </c>
      <c r="D29" s="101" t="s">
        <v>43</v>
      </c>
      <c r="E29" s="99">
        <v>0</v>
      </c>
      <c r="F29" s="99" t="str">
        <f t="shared" si="0"/>
        <v>budynek mieszkalny</v>
      </c>
      <c r="G29" s="99" t="s">
        <v>10</v>
      </c>
      <c r="H29" s="105">
        <f>4.5*6*12</f>
        <v>324</v>
      </c>
      <c r="I29" s="103">
        <f t="shared" si="2"/>
        <v>5.508</v>
      </c>
      <c r="J29" s="104" t="s">
        <v>24</v>
      </c>
      <c r="K29" s="217" t="s">
        <v>73</v>
      </c>
      <c r="L29" s="225"/>
      <c r="M29" s="223"/>
      <c r="N29" s="222"/>
      <c r="O29" s="222"/>
    </row>
    <row r="30" spans="1:15" s="63" customFormat="1" ht="11.25">
      <c r="A30" s="99">
        <v>29</v>
      </c>
      <c r="B30" s="185" t="s">
        <v>41</v>
      </c>
      <c r="C30" s="186" t="s">
        <v>41</v>
      </c>
      <c r="D30" s="187" t="s">
        <v>210</v>
      </c>
      <c r="E30" s="87">
        <v>2</v>
      </c>
      <c r="F30" s="188" t="s">
        <v>200</v>
      </c>
      <c r="G30" s="185" t="s">
        <v>10</v>
      </c>
      <c r="H30" s="88">
        <v>14</v>
      </c>
      <c r="I30" s="103">
        <f t="shared" si="2"/>
        <v>0.23800000000000002</v>
      </c>
      <c r="J30" s="189" t="s">
        <v>23</v>
      </c>
      <c r="K30" s="219" t="s">
        <v>206</v>
      </c>
      <c r="L30" s="225"/>
      <c r="M30" s="223"/>
      <c r="N30" s="222"/>
      <c r="O30" s="222"/>
    </row>
    <row r="31" spans="1:15" s="63" customFormat="1" ht="11.25">
      <c r="A31" s="99">
        <v>30</v>
      </c>
      <c r="B31" s="185" t="s">
        <v>41</v>
      </c>
      <c r="C31" s="186" t="s">
        <v>41</v>
      </c>
      <c r="D31" s="187" t="s">
        <v>211</v>
      </c>
      <c r="E31" s="87">
        <v>2</v>
      </c>
      <c r="F31" s="188" t="s">
        <v>200</v>
      </c>
      <c r="G31" s="185" t="s">
        <v>10</v>
      </c>
      <c r="H31" s="88">
        <v>42</v>
      </c>
      <c r="I31" s="103">
        <f t="shared" si="2"/>
        <v>0.7140000000000001</v>
      </c>
      <c r="J31" s="189" t="s">
        <v>24</v>
      </c>
      <c r="K31" s="219" t="s">
        <v>206</v>
      </c>
      <c r="L31" s="225"/>
      <c r="M31" s="223"/>
      <c r="N31" s="222"/>
      <c r="O31" s="222"/>
    </row>
    <row r="32" spans="1:15" s="63" customFormat="1" ht="16.5" customHeight="1">
      <c r="A32" s="99">
        <v>31</v>
      </c>
      <c r="B32" s="99" t="s">
        <v>41</v>
      </c>
      <c r="C32" s="100" t="s">
        <v>142</v>
      </c>
      <c r="D32" s="101" t="s">
        <v>141</v>
      </c>
      <c r="E32" s="99"/>
      <c r="F32" s="99"/>
      <c r="G32" s="99" t="s">
        <v>10</v>
      </c>
      <c r="H32" s="102"/>
      <c r="I32" s="103">
        <f t="shared" si="2"/>
        <v>0</v>
      </c>
      <c r="J32" s="104"/>
      <c r="K32" s="217"/>
      <c r="L32" s="225"/>
      <c r="M32" s="221"/>
      <c r="N32" s="222"/>
      <c r="O32" s="222"/>
    </row>
    <row r="33" spans="1:11" ht="11.25">
      <c r="A33" s="96"/>
      <c r="J33" s="6"/>
      <c r="K33" s="6"/>
    </row>
    <row r="34" spans="1:11" ht="11.25">
      <c r="A34" s="18"/>
      <c r="G34" s="2" t="s">
        <v>11</v>
      </c>
      <c r="H34" s="13">
        <f>SUM(H2:H32)</f>
        <v>2823</v>
      </c>
      <c r="I34" s="61">
        <f>SUM(I2:I32)</f>
        <v>47.991</v>
      </c>
      <c r="J34" s="7"/>
      <c r="K34" s="7"/>
    </row>
    <row r="36" spans="6:14" ht="11.25">
      <c r="F36" s="8" t="s">
        <v>12</v>
      </c>
      <c r="G36" s="8" t="s">
        <v>13</v>
      </c>
      <c r="H36" s="8" t="s">
        <v>14</v>
      </c>
      <c r="I36" s="8" t="s">
        <v>15</v>
      </c>
      <c r="J36" s="256" t="s">
        <v>234</v>
      </c>
      <c r="K36" s="180" t="s">
        <v>230</v>
      </c>
      <c r="L36" s="180" t="s">
        <v>227</v>
      </c>
      <c r="M36" s="180" t="s">
        <v>228</v>
      </c>
      <c r="N36" s="180" t="s">
        <v>229</v>
      </c>
    </row>
    <row r="37" spans="6:14" ht="11.25">
      <c r="F37" s="10" t="s">
        <v>16</v>
      </c>
      <c r="G37" s="10">
        <v>1</v>
      </c>
      <c r="H37" s="14">
        <f>SUMIF(E$2:I32,E29,H$2:H32)</f>
        <v>324</v>
      </c>
      <c r="I37" s="59">
        <f>SUMIF(E$2:I32,E29,I$2:I32)</f>
        <v>5.508</v>
      </c>
      <c r="J37" s="257"/>
      <c r="K37" s="5"/>
      <c r="L37" s="11"/>
      <c r="M37" s="17">
        <v>324</v>
      </c>
      <c r="N37" s="11"/>
    </row>
    <row r="38" spans="6:14" ht="11.25">
      <c r="F38" s="10" t="s">
        <v>17</v>
      </c>
      <c r="G38" s="10">
        <v>26</v>
      </c>
      <c r="H38" s="14">
        <f>SUMIF(E$2:I32,E2,H$2:H32)</f>
        <v>1952</v>
      </c>
      <c r="I38" s="59">
        <f>SUMIF(E$2:I32,E2,I$2:I32)</f>
        <v>33.184000000000005</v>
      </c>
      <c r="J38" s="258"/>
      <c r="K38" s="10">
        <v>506</v>
      </c>
      <c r="L38" s="10">
        <v>328</v>
      </c>
      <c r="M38" s="15"/>
      <c r="N38" s="11">
        <v>1118</v>
      </c>
    </row>
    <row r="39" spans="6:14" ht="11.25">
      <c r="F39" s="10" t="s">
        <v>18</v>
      </c>
      <c r="G39" s="10">
        <v>3</v>
      </c>
      <c r="H39" s="14">
        <v>547</v>
      </c>
      <c r="I39" s="59">
        <v>9.299</v>
      </c>
      <c r="J39" s="259">
        <v>1433.529</v>
      </c>
      <c r="K39" s="11">
        <v>547</v>
      </c>
      <c r="L39" s="11"/>
      <c r="M39" s="16"/>
      <c r="N39" s="11"/>
    </row>
    <row r="40" spans="6:14" ht="11.25">
      <c r="F40" s="10" t="s">
        <v>10</v>
      </c>
      <c r="G40" s="10">
        <v>30</v>
      </c>
      <c r="H40" s="14">
        <f>SUMIF(G$2:I32,G3,H$2:H32)</f>
        <v>2823</v>
      </c>
      <c r="I40" s="59">
        <f>SUMIF(G$2:I32,G$2,I$2:I32)</f>
        <v>47.991</v>
      </c>
      <c r="J40" s="259">
        <v>1433.529</v>
      </c>
      <c r="K40" s="59">
        <v>1053</v>
      </c>
      <c r="L40" s="59">
        <v>328</v>
      </c>
      <c r="M40" s="62">
        <v>324</v>
      </c>
      <c r="N40" s="59">
        <v>1118</v>
      </c>
    </row>
    <row r="41" spans="6:14" ht="11.25">
      <c r="F41" s="10" t="s">
        <v>19</v>
      </c>
      <c r="G41" s="10">
        <v>0</v>
      </c>
      <c r="H41" s="14">
        <f>SUMIF(G$2:I33,#REF!,H$2:H33)</f>
        <v>0</v>
      </c>
      <c r="I41" s="59">
        <f>SUMIF(G$2:I33,#REF!,I$2:I33)</f>
        <v>0</v>
      </c>
      <c r="J41" s="257"/>
      <c r="K41" s="11"/>
      <c r="L41" s="11"/>
      <c r="M41" s="16"/>
      <c r="N41" s="11"/>
    </row>
    <row r="42" spans="6:14" ht="11.25">
      <c r="F42" s="10" t="s">
        <v>20</v>
      </c>
      <c r="G42" s="10">
        <v>0</v>
      </c>
      <c r="H42" s="14">
        <f>SUMIF(G$2:I34,#REF!,H$2:H34)</f>
        <v>0</v>
      </c>
      <c r="I42" s="59">
        <f>SUMIF(G$2:I34,#REF!,I$2:I34)</f>
        <v>0</v>
      </c>
      <c r="J42" s="257"/>
      <c r="K42" s="11"/>
      <c r="L42" s="11"/>
      <c r="M42" s="16"/>
      <c r="N42" s="11"/>
    </row>
    <row r="43" spans="6:14" ht="11.25">
      <c r="F43" s="10" t="s">
        <v>21</v>
      </c>
      <c r="G43" s="10">
        <v>0</v>
      </c>
      <c r="H43" s="12"/>
      <c r="I43" s="59"/>
      <c r="J43" s="257"/>
      <c r="K43" s="11"/>
      <c r="L43" s="11"/>
      <c r="M43" s="16"/>
      <c r="N43" s="11"/>
    </row>
  </sheetData>
  <sheetProtection/>
  <autoFilter ref="A1:O32"/>
  <printOptions/>
  <pageMargins left="0.31496062992125984" right="0.2755905511811024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N10" sqref="N10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1" width="9.140625" style="2" customWidth="1" outlineLevel="1"/>
    <col min="12" max="13" width="9.8515625" style="2" customWidth="1"/>
    <col min="14" max="14" width="10.28125" style="2" customWidth="1"/>
    <col min="15" max="15" width="10.140625" style="2" customWidth="1"/>
    <col min="16" max="16384" width="9.140625" style="2" customWidth="1"/>
  </cols>
  <sheetData>
    <row r="1" spans="1:15" s="1" customFormat="1" ht="45">
      <c r="A1" s="97" t="s">
        <v>0</v>
      </c>
      <c r="B1" s="97" t="s">
        <v>1</v>
      </c>
      <c r="C1" s="97" t="s">
        <v>2</v>
      </c>
      <c r="D1" s="98" t="s">
        <v>3</v>
      </c>
      <c r="E1" s="97"/>
      <c r="F1" s="97" t="s">
        <v>4</v>
      </c>
      <c r="G1" s="97" t="s">
        <v>5</v>
      </c>
      <c r="H1" s="97" t="s">
        <v>6</v>
      </c>
      <c r="I1" s="97" t="s">
        <v>7</v>
      </c>
      <c r="J1" s="97" t="s">
        <v>8</v>
      </c>
      <c r="K1" s="216" t="s">
        <v>9</v>
      </c>
      <c r="L1" s="227"/>
      <c r="M1" s="220"/>
      <c r="N1" s="220"/>
      <c r="O1" s="220"/>
    </row>
    <row r="2" spans="1:15" s="63" customFormat="1" ht="11.25">
      <c r="A2" s="99">
        <v>1</v>
      </c>
      <c r="B2" s="99" t="s">
        <v>22</v>
      </c>
      <c r="C2" s="100" t="s">
        <v>22</v>
      </c>
      <c r="D2" s="101" t="s">
        <v>143</v>
      </c>
      <c r="E2" s="99">
        <v>2</v>
      </c>
      <c r="F2" s="99" t="str">
        <f aca="true" t="shared" si="0" ref="F2:F62">IF(E2=2,"budynek gospodarczy","budynek mieszkalny")</f>
        <v>budynek gospodarczy</v>
      </c>
      <c r="G2" s="99" t="s">
        <v>10</v>
      </c>
      <c r="H2" s="102">
        <f>5*9</f>
        <v>45</v>
      </c>
      <c r="I2" s="103">
        <f>0.017*H2</f>
        <v>0.765</v>
      </c>
      <c r="J2" s="104" t="s">
        <v>23</v>
      </c>
      <c r="K2" s="217" t="s">
        <v>72</v>
      </c>
      <c r="L2" s="228"/>
      <c r="M2" s="222"/>
      <c r="N2" s="222"/>
      <c r="O2" s="222"/>
    </row>
    <row r="3" spans="1:15" s="63" customFormat="1" ht="11.25">
      <c r="A3" s="99">
        <f>A2+1</f>
        <v>2</v>
      </c>
      <c r="B3" s="99" t="s">
        <v>22</v>
      </c>
      <c r="C3" s="100" t="s">
        <v>22</v>
      </c>
      <c r="D3" s="101" t="s">
        <v>143</v>
      </c>
      <c r="E3" s="99">
        <v>2</v>
      </c>
      <c r="F3" s="99" t="str">
        <f t="shared" si="0"/>
        <v>budynek gospodarczy</v>
      </c>
      <c r="G3" s="99" t="s">
        <v>10</v>
      </c>
      <c r="H3" s="102">
        <f>4.5*7</f>
        <v>31.5</v>
      </c>
      <c r="I3" s="103">
        <f>0.017*H3</f>
        <v>0.5355000000000001</v>
      </c>
      <c r="J3" s="104" t="s">
        <v>23</v>
      </c>
      <c r="K3" s="217" t="s">
        <v>72</v>
      </c>
      <c r="L3" s="228"/>
      <c r="M3" s="222"/>
      <c r="N3" s="222"/>
      <c r="O3" s="222"/>
    </row>
    <row r="4" spans="1:15" s="76" customFormat="1" ht="11.25">
      <c r="A4" s="99">
        <f aca="true" t="shared" si="1" ref="A4:A63">A3+1</f>
        <v>3</v>
      </c>
      <c r="B4" s="99" t="s">
        <v>22</v>
      </c>
      <c r="C4" s="100" t="s">
        <v>22</v>
      </c>
      <c r="D4" s="101" t="s">
        <v>145</v>
      </c>
      <c r="E4" s="99">
        <v>2</v>
      </c>
      <c r="F4" s="99" t="str">
        <f t="shared" si="0"/>
        <v>budynek gospodarczy</v>
      </c>
      <c r="G4" s="99" t="s">
        <v>10</v>
      </c>
      <c r="H4" s="102">
        <f>5*30</f>
        <v>150</v>
      </c>
      <c r="I4" s="103">
        <f aca="true" t="shared" si="2" ref="I4:I64">0.017*H4</f>
        <v>2.5500000000000003</v>
      </c>
      <c r="J4" s="104" t="s">
        <v>26</v>
      </c>
      <c r="K4" s="217" t="s">
        <v>74</v>
      </c>
      <c r="L4" s="228"/>
      <c r="M4" s="222"/>
      <c r="N4" s="222"/>
      <c r="O4" s="222"/>
    </row>
    <row r="5" spans="1:15" s="76" customFormat="1" ht="11.25">
      <c r="A5" s="99">
        <f t="shared" si="1"/>
        <v>4</v>
      </c>
      <c r="B5" s="99" t="s">
        <v>22</v>
      </c>
      <c r="C5" s="100" t="s">
        <v>22</v>
      </c>
      <c r="D5" s="101" t="s">
        <v>145</v>
      </c>
      <c r="E5" s="99">
        <v>2</v>
      </c>
      <c r="F5" s="99" t="str">
        <f t="shared" si="0"/>
        <v>budynek gospodarczy</v>
      </c>
      <c r="G5" s="99" t="s">
        <v>10</v>
      </c>
      <c r="H5" s="102">
        <f>3.5*7</f>
        <v>24.5</v>
      </c>
      <c r="I5" s="103">
        <f t="shared" si="2"/>
        <v>0.41650000000000004</v>
      </c>
      <c r="J5" s="104" t="s">
        <v>23</v>
      </c>
      <c r="K5" s="217" t="s">
        <v>72</v>
      </c>
      <c r="L5" s="228"/>
      <c r="M5" s="222"/>
      <c r="N5" s="222"/>
      <c r="O5" s="222"/>
    </row>
    <row r="6" spans="1:15" s="63" customFormat="1" ht="13.5" customHeight="1">
      <c r="A6" s="99">
        <f t="shared" si="1"/>
        <v>5</v>
      </c>
      <c r="B6" s="99" t="s">
        <v>22</v>
      </c>
      <c r="C6" s="100" t="s">
        <v>22</v>
      </c>
      <c r="D6" s="101" t="s">
        <v>144</v>
      </c>
      <c r="E6" s="99">
        <v>3</v>
      </c>
      <c r="F6" s="194" t="s">
        <v>18</v>
      </c>
      <c r="G6" s="99" t="s">
        <v>10</v>
      </c>
      <c r="H6" s="102">
        <v>17</v>
      </c>
      <c r="I6" s="103">
        <f t="shared" si="2"/>
        <v>0.28900000000000003</v>
      </c>
      <c r="J6" s="193" t="s">
        <v>23</v>
      </c>
      <c r="K6" s="218" t="s">
        <v>206</v>
      </c>
      <c r="L6" s="228"/>
      <c r="M6" s="222"/>
      <c r="N6" s="222"/>
      <c r="O6" s="222"/>
    </row>
    <row r="7" spans="1:15" s="63" customFormat="1" ht="11.25">
      <c r="A7" s="99">
        <f t="shared" si="1"/>
        <v>6</v>
      </c>
      <c r="B7" s="99" t="s">
        <v>22</v>
      </c>
      <c r="C7" s="100" t="s">
        <v>22</v>
      </c>
      <c r="D7" s="101" t="s">
        <v>146</v>
      </c>
      <c r="E7" s="99">
        <v>2</v>
      </c>
      <c r="F7" s="99" t="str">
        <f t="shared" si="0"/>
        <v>budynek gospodarczy</v>
      </c>
      <c r="G7" s="99" t="s">
        <v>10</v>
      </c>
      <c r="H7" s="102">
        <f>6*2*12</f>
        <v>144</v>
      </c>
      <c r="I7" s="103">
        <f t="shared" si="2"/>
        <v>2.4480000000000004</v>
      </c>
      <c r="J7" s="104" t="s">
        <v>26</v>
      </c>
      <c r="K7" s="217" t="s">
        <v>74</v>
      </c>
      <c r="L7" s="228"/>
      <c r="M7" s="222"/>
      <c r="N7" s="222"/>
      <c r="O7" s="222"/>
    </row>
    <row r="8" spans="1:15" s="63" customFormat="1" ht="11.25">
      <c r="A8" s="99">
        <v>7</v>
      </c>
      <c r="B8" s="99" t="s">
        <v>22</v>
      </c>
      <c r="C8" s="100" t="s">
        <v>22</v>
      </c>
      <c r="D8" s="101" t="s">
        <v>146</v>
      </c>
      <c r="E8" s="99">
        <v>2</v>
      </c>
      <c r="F8" s="99" t="str">
        <f t="shared" si="0"/>
        <v>budynek gospodarczy</v>
      </c>
      <c r="G8" s="99" t="s">
        <v>10</v>
      </c>
      <c r="H8" s="102">
        <f>3*12</f>
        <v>36</v>
      </c>
      <c r="I8" s="103">
        <f t="shared" si="2"/>
        <v>0.6120000000000001</v>
      </c>
      <c r="J8" s="104" t="s">
        <v>23</v>
      </c>
      <c r="K8" s="217" t="s">
        <v>72</v>
      </c>
      <c r="L8" s="228"/>
      <c r="M8" s="222"/>
      <c r="N8" s="222"/>
      <c r="O8" s="222"/>
    </row>
    <row r="9" spans="1:15" s="63" customFormat="1" ht="11.25">
      <c r="A9" s="99">
        <f t="shared" si="1"/>
        <v>8</v>
      </c>
      <c r="B9" s="99" t="s">
        <v>22</v>
      </c>
      <c r="C9" s="100" t="s">
        <v>22</v>
      </c>
      <c r="D9" s="101" t="s">
        <v>146</v>
      </c>
      <c r="E9" s="99">
        <v>2</v>
      </c>
      <c r="F9" s="99" t="str">
        <f t="shared" si="0"/>
        <v>budynek gospodarczy</v>
      </c>
      <c r="G9" s="99" t="s">
        <v>10</v>
      </c>
      <c r="H9" s="102">
        <f>3*2*5.5</f>
        <v>33</v>
      </c>
      <c r="I9" s="103">
        <f t="shared" si="2"/>
        <v>0.561</v>
      </c>
      <c r="J9" s="104" t="s">
        <v>23</v>
      </c>
      <c r="K9" s="217" t="s">
        <v>72</v>
      </c>
      <c r="L9" s="228"/>
      <c r="M9" s="222"/>
      <c r="N9" s="222"/>
      <c r="O9" s="222"/>
    </row>
    <row r="10" spans="1:15" s="63" customFormat="1" ht="11.25">
      <c r="A10" s="99">
        <f t="shared" si="1"/>
        <v>9</v>
      </c>
      <c r="B10" s="99" t="s">
        <v>22</v>
      </c>
      <c r="C10" s="100" t="s">
        <v>22</v>
      </c>
      <c r="D10" s="101" t="s">
        <v>146</v>
      </c>
      <c r="E10" s="99">
        <v>2</v>
      </c>
      <c r="F10" s="99" t="str">
        <f t="shared" si="0"/>
        <v>budynek gospodarczy</v>
      </c>
      <c r="G10" s="99" t="s">
        <v>10</v>
      </c>
      <c r="H10" s="102">
        <f>(2.5+3)*2*15</f>
        <v>165</v>
      </c>
      <c r="I10" s="103">
        <f t="shared" si="2"/>
        <v>2.805</v>
      </c>
      <c r="J10" s="104" t="s">
        <v>26</v>
      </c>
      <c r="K10" s="217" t="s">
        <v>74</v>
      </c>
      <c r="L10" s="228"/>
      <c r="M10" s="222"/>
      <c r="N10" s="222"/>
      <c r="O10" s="222"/>
    </row>
    <row r="11" spans="1:15" s="63" customFormat="1" ht="11.25">
      <c r="A11" s="99">
        <f t="shared" si="1"/>
        <v>10</v>
      </c>
      <c r="B11" s="99" t="s">
        <v>22</v>
      </c>
      <c r="C11" s="100" t="s">
        <v>22</v>
      </c>
      <c r="D11" s="101" t="s">
        <v>147</v>
      </c>
      <c r="E11" s="99">
        <v>2</v>
      </c>
      <c r="F11" s="99" t="str">
        <f t="shared" si="0"/>
        <v>budynek gospodarczy</v>
      </c>
      <c r="G11" s="99" t="s">
        <v>10</v>
      </c>
      <c r="H11" s="102">
        <f>4*6</f>
        <v>24</v>
      </c>
      <c r="I11" s="103">
        <f t="shared" si="2"/>
        <v>0.40800000000000003</v>
      </c>
      <c r="J11" s="104" t="s">
        <v>23</v>
      </c>
      <c r="K11" s="217" t="s">
        <v>72</v>
      </c>
      <c r="L11" s="228"/>
      <c r="M11" s="222"/>
      <c r="N11" s="222"/>
      <c r="O11" s="222"/>
    </row>
    <row r="12" spans="1:15" s="63" customFormat="1" ht="11.25">
      <c r="A12" s="99">
        <f t="shared" si="1"/>
        <v>11</v>
      </c>
      <c r="B12" s="99" t="s">
        <v>22</v>
      </c>
      <c r="C12" s="100" t="s">
        <v>22</v>
      </c>
      <c r="D12" s="101" t="s">
        <v>147</v>
      </c>
      <c r="E12" s="99">
        <v>2</v>
      </c>
      <c r="F12" s="99" t="str">
        <f t="shared" si="0"/>
        <v>budynek gospodarczy</v>
      </c>
      <c r="G12" s="99" t="s">
        <v>10</v>
      </c>
      <c r="H12" s="102">
        <f>6*6</f>
        <v>36</v>
      </c>
      <c r="I12" s="103">
        <f t="shared" si="2"/>
        <v>0.6120000000000001</v>
      </c>
      <c r="J12" s="104" t="s">
        <v>23</v>
      </c>
      <c r="K12" s="217" t="s">
        <v>72</v>
      </c>
      <c r="L12" s="228"/>
      <c r="M12" s="222"/>
      <c r="N12" s="222"/>
      <c r="O12" s="222"/>
    </row>
    <row r="13" spans="1:15" s="63" customFormat="1" ht="11.25">
      <c r="A13" s="99">
        <f t="shared" si="1"/>
        <v>12</v>
      </c>
      <c r="B13" s="99" t="s">
        <v>22</v>
      </c>
      <c r="C13" s="100" t="s">
        <v>22</v>
      </c>
      <c r="D13" s="101" t="s">
        <v>147</v>
      </c>
      <c r="E13" s="99">
        <v>2</v>
      </c>
      <c r="F13" s="99" t="str">
        <f t="shared" si="0"/>
        <v>budynek gospodarczy</v>
      </c>
      <c r="G13" s="99" t="s">
        <v>10</v>
      </c>
      <c r="H13" s="102">
        <f>4*12</f>
        <v>48</v>
      </c>
      <c r="I13" s="103">
        <f t="shared" si="2"/>
        <v>0.8160000000000001</v>
      </c>
      <c r="J13" s="104" t="s">
        <v>23</v>
      </c>
      <c r="K13" s="217" t="s">
        <v>72</v>
      </c>
      <c r="L13" s="228"/>
      <c r="M13" s="222"/>
      <c r="N13" s="222"/>
      <c r="O13" s="222"/>
    </row>
    <row r="14" spans="1:15" s="63" customFormat="1" ht="11.25">
      <c r="A14" s="99">
        <f t="shared" si="1"/>
        <v>13</v>
      </c>
      <c r="B14" s="99" t="s">
        <v>22</v>
      </c>
      <c r="C14" s="100" t="s">
        <v>22</v>
      </c>
      <c r="D14" s="101" t="s">
        <v>147</v>
      </c>
      <c r="E14" s="99">
        <v>2</v>
      </c>
      <c r="F14" s="99" t="str">
        <f t="shared" si="0"/>
        <v>budynek gospodarczy</v>
      </c>
      <c r="G14" s="99" t="s">
        <v>10</v>
      </c>
      <c r="H14" s="102">
        <f>6*12</f>
        <v>72</v>
      </c>
      <c r="I14" s="103">
        <f>0.017*H14</f>
        <v>1.2240000000000002</v>
      </c>
      <c r="J14" s="104" t="s">
        <v>26</v>
      </c>
      <c r="K14" s="217" t="s">
        <v>74</v>
      </c>
      <c r="L14" s="228"/>
      <c r="M14" s="222"/>
      <c r="N14" s="222"/>
      <c r="O14" s="222"/>
    </row>
    <row r="15" spans="1:15" s="63" customFormat="1" ht="11.25">
      <c r="A15" s="99">
        <f t="shared" si="1"/>
        <v>14</v>
      </c>
      <c r="B15" s="99" t="s">
        <v>22</v>
      </c>
      <c r="C15" s="100" t="s">
        <v>22</v>
      </c>
      <c r="D15" s="101" t="s">
        <v>147</v>
      </c>
      <c r="E15" s="99">
        <v>2</v>
      </c>
      <c r="F15" s="99" t="str">
        <f t="shared" si="0"/>
        <v>budynek gospodarczy</v>
      </c>
      <c r="G15" s="99" t="s">
        <v>10</v>
      </c>
      <c r="H15" s="102">
        <f>7*8</f>
        <v>56</v>
      </c>
      <c r="I15" s="103">
        <f t="shared" si="2"/>
        <v>0.9520000000000001</v>
      </c>
      <c r="J15" s="104" t="s">
        <v>26</v>
      </c>
      <c r="K15" s="217" t="s">
        <v>74</v>
      </c>
      <c r="L15" s="228"/>
      <c r="M15" s="222"/>
      <c r="N15" s="222"/>
      <c r="O15" s="222"/>
    </row>
    <row r="16" spans="1:15" s="63" customFormat="1" ht="11.25">
      <c r="A16" s="99">
        <f t="shared" si="1"/>
        <v>15</v>
      </c>
      <c r="B16" s="99" t="s">
        <v>22</v>
      </c>
      <c r="C16" s="100" t="s">
        <v>22</v>
      </c>
      <c r="D16" s="101" t="s">
        <v>147</v>
      </c>
      <c r="E16" s="99">
        <v>2</v>
      </c>
      <c r="F16" s="99" t="str">
        <f t="shared" si="0"/>
        <v>budynek gospodarczy</v>
      </c>
      <c r="G16" s="99" t="s">
        <v>10</v>
      </c>
      <c r="H16" s="102">
        <f>3*6</f>
        <v>18</v>
      </c>
      <c r="I16" s="103">
        <f>0.017*H16</f>
        <v>0.30600000000000005</v>
      </c>
      <c r="J16" s="104" t="s">
        <v>23</v>
      </c>
      <c r="K16" s="217" t="s">
        <v>72</v>
      </c>
      <c r="L16" s="228"/>
      <c r="M16" s="222"/>
      <c r="N16" s="222"/>
      <c r="O16" s="222"/>
    </row>
    <row r="17" spans="1:15" s="63" customFormat="1" ht="12.75" customHeight="1">
      <c r="A17" s="99">
        <f t="shared" si="1"/>
        <v>16</v>
      </c>
      <c r="B17" s="99" t="s">
        <v>22</v>
      </c>
      <c r="C17" s="100" t="s">
        <v>22</v>
      </c>
      <c r="D17" s="101" t="s">
        <v>148</v>
      </c>
      <c r="E17" s="99">
        <v>2</v>
      </c>
      <c r="F17" s="99" t="str">
        <f t="shared" si="0"/>
        <v>budynek gospodarczy</v>
      </c>
      <c r="G17" s="99" t="s">
        <v>10</v>
      </c>
      <c r="H17" s="102">
        <f>5*15</f>
        <v>75</v>
      </c>
      <c r="I17" s="103">
        <f t="shared" si="2"/>
        <v>1.2750000000000001</v>
      </c>
      <c r="J17" s="104" t="s">
        <v>26</v>
      </c>
      <c r="K17" s="217" t="s">
        <v>74</v>
      </c>
      <c r="L17" s="228"/>
      <c r="M17" s="222"/>
      <c r="N17" s="222"/>
      <c r="O17" s="222"/>
    </row>
    <row r="18" spans="1:15" s="63" customFormat="1" ht="15.75" customHeight="1">
      <c r="A18" s="99">
        <f t="shared" si="1"/>
        <v>17</v>
      </c>
      <c r="B18" s="99" t="s">
        <v>22</v>
      </c>
      <c r="C18" s="100" t="s">
        <v>22</v>
      </c>
      <c r="D18" s="101" t="s">
        <v>148</v>
      </c>
      <c r="E18" s="99">
        <v>2</v>
      </c>
      <c r="F18" s="99" t="str">
        <f t="shared" si="0"/>
        <v>budynek gospodarczy</v>
      </c>
      <c r="G18" s="99" t="s">
        <v>10</v>
      </c>
      <c r="H18" s="102">
        <f>2*8</f>
        <v>16</v>
      </c>
      <c r="I18" s="103">
        <f t="shared" si="2"/>
        <v>0.272</v>
      </c>
      <c r="J18" s="104" t="s">
        <v>23</v>
      </c>
      <c r="K18" s="217" t="s">
        <v>72</v>
      </c>
      <c r="L18" s="228"/>
      <c r="M18" s="222"/>
      <c r="N18" s="222"/>
      <c r="O18" s="222"/>
    </row>
    <row r="19" spans="1:15" s="63" customFormat="1" ht="12" customHeight="1">
      <c r="A19" s="99">
        <f t="shared" si="1"/>
        <v>18</v>
      </c>
      <c r="B19" s="99" t="s">
        <v>22</v>
      </c>
      <c r="C19" s="100" t="s">
        <v>22</v>
      </c>
      <c r="D19" s="101" t="s">
        <v>148</v>
      </c>
      <c r="E19" s="99">
        <v>2</v>
      </c>
      <c r="F19" s="99" t="str">
        <f t="shared" si="0"/>
        <v>budynek gospodarczy</v>
      </c>
      <c r="G19" s="99" t="s">
        <v>10</v>
      </c>
      <c r="H19" s="102">
        <f>3.5*8</f>
        <v>28</v>
      </c>
      <c r="I19" s="103">
        <f t="shared" si="2"/>
        <v>0.47600000000000003</v>
      </c>
      <c r="J19" s="104" t="s">
        <v>23</v>
      </c>
      <c r="K19" s="217" t="s">
        <v>72</v>
      </c>
      <c r="L19" s="228"/>
      <c r="M19" s="222"/>
      <c r="N19" s="222"/>
      <c r="O19" s="222"/>
    </row>
    <row r="20" spans="1:15" s="63" customFormat="1" ht="11.25">
      <c r="A20" s="99">
        <f t="shared" si="1"/>
        <v>19</v>
      </c>
      <c r="B20" s="99" t="s">
        <v>22</v>
      </c>
      <c r="C20" s="100" t="s">
        <v>22</v>
      </c>
      <c r="D20" s="101" t="s">
        <v>149</v>
      </c>
      <c r="E20" s="99">
        <v>2</v>
      </c>
      <c r="F20" s="99" t="str">
        <f t="shared" si="0"/>
        <v>budynek gospodarczy</v>
      </c>
      <c r="G20" s="99" t="s">
        <v>10</v>
      </c>
      <c r="H20" s="102">
        <f>3.5*10*2</f>
        <v>70</v>
      </c>
      <c r="I20" s="103">
        <f t="shared" si="2"/>
        <v>1.1900000000000002</v>
      </c>
      <c r="J20" s="104" t="s">
        <v>26</v>
      </c>
      <c r="K20" s="217" t="s">
        <v>74</v>
      </c>
      <c r="L20" s="228"/>
      <c r="M20" s="222"/>
      <c r="N20" s="222"/>
      <c r="O20" s="222"/>
    </row>
    <row r="21" spans="1:15" s="63" customFormat="1" ht="11.25">
      <c r="A21" s="99">
        <f t="shared" si="1"/>
        <v>20</v>
      </c>
      <c r="B21" s="99" t="s">
        <v>22</v>
      </c>
      <c r="C21" s="100" t="s">
        <v>22</v>
      </c>
      <c r="D21" s="101" t="s">
        <v>133</v>
      </c>
      <c r="E21" s="99">
        <v>2</v>
      </c>
      <c r="F21" s="99" t="str">
        <f t="shared" si="0"/>
        <v>budynek gospodarczy</v>
      </c>
      <c r="G21" s="99" t="s">
        <v>10</v>
      </c>
      <c r="H21" s="102">
        <f>4*8</f>
        <v>32</v>
      </c>
      <c r="I21" s="103">
        <f t="shared" si="2"/>
        <v>0.544</v>
      </c>
      <c r="J21" s="104" t="s">
        <v>23</v>
      </c>
      <c r="K21" s="217" t="s">
        <v>72</v>
      </c>
      <c r="L21" s="228"/>
      <c r="M21" s="222"/>
      <c r="N21" s="222"/>
      <c r="O21" s="222"/>
    </row>
    <row r="22" spans="1:15" s="76" customFormat="1" ht="11.25">
      <c r="A22" s="99">
        <f t="shared" si="1"/>
        <v>21</v>
      </c>
      <c r="B22" s="99" t="s">
        <v>22</v>
      </c>
      <c r="C22" s="100" t="s">
        <v>22</v>
      </c>
      <c r="D22" s="101" t="s">
        <v>150</v>
      </c>
      <c r="E22" s="99">
        <v>2</v>
      </c>
      <c r="F22" s="99" t="str">
        <f t="shared" si="0"/>
        <v>budynek gospodarczy</v>
      </c>
      <c r="G22" s="99" t="s">
        <v>10</v>
      </c>
      <c r="H22" s="102">
        <f>3*2*12</f>
        <v>72</v>
      </c>
      <c r="I22" s="103">
        <f t="shared" si="2"/>
        <v>1.2240000000000002</v>
      </c>
      <c r="J22" s="104" t="s">
        <v>26</v>
      </c>
      <c r="K22" s="217" t="s">
        <v>74</v>
      </c>
      <c r="L22" s="228"/>
      <c r="M22" s="222"/>
      <c r="N22" s="222"/>
      <c r="O22" s="222"/>
    </row>
    <row r="23" spans="1:15" s="63" customFormat="1" ht="15.75" customHeight="1">
      <c r="A23" s="99">
        <f t="shared" si="1"/>
        <v>22</v>
      </c>
      <c r="B23" s="99" t="s">
        <v>22</v>
      </c>
      <c r="C23" s="100" t="s">
        <v>22</v>
      </c>
      <c r="D23" s="101" t="s">
        <v>151</v>
      </c>
      <c r="E23" s="99">
        <v>2</v>
      </c>
      <c r="F23" s="99" t="str">
        <f t="shared" si="0"/>
        <v>budynek gospodarczy</v>
      </c>
      <c r="G23" s="99" t="s">
        <v>10</v>
      </c>
      <c r="H23" s="102">
        <f>4*6</f>
        <v>24</v>
      </c>
      <c r="I23" s="103">
        <f t="shared" si="2"/>
        <v>0.40800000000000003</v>
      </c>
      <c r="J23" s="104" t="s">
        <v>23</v>
      </c>
      <c r="K23" s="217" t="s">
        <v>72</v>
      </c>
      <c r="L23" s="228"/>
      <c r="M23" s="222"/>
      <c r="N23" s="222"/>
      <c r="O23" s="222"/>
    </row>
    <row r="24" spans="1:15" s="63" customFormat="1" ht="17.25" customHeight="1">
      <c r="A24" s="99">
        <f t="shared" si="1"/>
        <v>23</v>
      </c>
      <c r="B24" s="99" t="s">
        <v>22</v>
      </c>
      <c r="C24" s="100" t="s">
        <v>22</v>
      </c>
      <c r="D24" s="101" t="s">
        <v>151</v>
      </c>
      <c r="E24" s="99">
        <v>2</v>
      </c>
      <c r="F24" s="99" t="str">
        <f t="shared" si="0"/>
        <v>budynek gospodarczy</v>
      </c>
      <c r="G24" s="99" t="s">
        <v>10</v>
      </c>
      <c r="H24" s="102">
        <f>3.5*6</f>
        <v>21</v>
      </c>
      <c r="I24" s="103">
        <f t="shared" si="2"/>
        <v>0.35700000000000004</v>
      </c>
      <c r="J24" s="104" t="s">
        <v>23</v>
      </c>
      <c r="K24" s="217" t="s">
        <v>72</v>
      </c>
      <c r="L24" s="228"/>
      <c r="M24" s="222"/>
      <c r="N24" s="222"/>
      <c r="O24" s="222"/>
    </row>
    <row r="25" spans="1:15" s="63" customFormat="1" ht="18" customHeight="1">
      <c r="A25" s="99">
        <f t="shared" si="1"/>
        <v>24</v>
      </c>
      <c r="B25" s="99" t="s">
        <v>22</v>
      </c>
      <c r="C25" s="100" t="s">
        <v>22</v>
      </c>
      <c r="D25" s="101" t="s">
        <v>151</v>
      </c>
      <c r="E25" s="99">
        <v>2</v>
      </c>
      <c r="F25" s="99" t="str">
        <f t="shared" si="0"/>
        <v>budynek gospodarczy</v>
      </c>
      <c r="G25" s="99" t="s">
        <v>10</v>
      </c>
      <c r="H25" s="102">
        <f>3.5*7</f>
        <v>24.5</v>
      </c>
      <c r="I25" s="103">
        <f t="shared" si="2"/>
        <v>0.41650000000000004</v>
      </c>
      <c r="J25" s="104" t="s">
        <v>23</v>
      </c>
      <c r="K25" s="217" t="s">
        <v>72</v>
      </c>
      <c r="L25" s="228"/>
      <c r="M25" s="222"/>
      <c r="N25" s="222"/>
      <c r="O25" s="222"/>
    </row>
    <row r="26" spans="1:15" s="63" customFormat="1" ht="11.25">
      <c r="A26" s="99">
        <f t="shared" si="1"/>
        <v>25</v>
      </c>
      <c r="B26" s="99" t="s">
        <v>22</v>
      </c>
      <c r="C26" s="100" t="s">
        <v>22</v>
      </c>
      <c r="D26" s="101" t="s">
        <v>152</v>
      </c>
      <c r="E26" s="99">
        <v>2</v>
      </c>
      <c r="F26" s="99" t="str">
        <f t="shared" si="0"/>
        <v>budynek gospodarczy</v>
      </c>
      <c r="G26" s="99" t="s">
        <v>10</v>
      </c>
      <c r="H26" s="102">
        <f>5*10</f>
        <v>50</v>
      </c>
      <c r="I26" s="103">
        <f t="shared" si="2"/>
        <v>0.8500000000000001</v>
      </c>
      <c r="J26" s="104" t="s">
        <v>26</v>
      </c>
      <c r="K26" s="217" t="s">
        <v>74</v>
      </c>
      <c r="L26" s="228"/>
      <c r="M26" s="222"/>
      <c r="N26" s="222"/>
      <c r="O26" s="222"/>
    </row>
    <row r="27" spans="1:15" s="63" customFormat="1" ht="14.25" customHeight="1">
      <c r="A27" s="99">
        <f t="shared" si="1"/>
        <v>26</v>
      </c>
      <c r="B27" s="99" t="s">
        <v>22</v>
      </c>
      <c r="C27" s="100" t="s">
        <v>22</v>
      </c>
      <c r="D27" s="101" t="s">
        <v>131</v>
      </c>
      <c r="E27" s="99">
        <v>2</v>
      </c>
      <c r="F27" s="99" t="str">
        <f t="shared" si="0"/>
        <v>budynek gospodarczy</v>
      </c>
      <c r="G27" s="99" t="s">
        <v>10</v>
      </c>
      <c r="H27" s="102">
        <f>7*10</f>
        <v>70</v>
      </c>
      <c r="I27" s="103">
        <f t="shared" si="2"/>
        <v>1.1900000000000002</v>
      </c>
      <c r="J27" s="104" t="s">
        <v>26</v>
      </c>
      <c r="K27" s="217" t="s">
        <v>74</v>
      </c>
      <c r="L27" s="228"/>
      <c r="M27" s="222"/>
      <c r="N27" s="222"/>
      <c r="O27" s="222"/>
    </row>
    <row r="28" spans="1:15" s="76" customFormat="1" ht="11.25">
      <c r="A28" s="99">
        <f t="shared" si="1"/>
        <v>27</v>
      </c>
      <c r="B28" s="99" t="s">
        <v>22</v>
      </c>
      <c r="C28" s="100" t="s">
        <v>22</v>
      </c>
      <c r="D28" s="101" t="s">
        <v>153</v>
      </c>
      <c r="E28" s="99">
        <v>2</v>
      </c>
      <c r="F28" s="99" t="str">
        <f t="shared" si="0"/>
        <v>budynek gospodarczy</v>
      </c>
      <c r="G28" s="99" t="s">
        <v>10</v>
      </c>
      <c r="H28" s="102">
        <f>5*2*14</f>
        <v>140</v>
      </c>
      <c r="I28" s="103">
        <f t="shared" si="2"/>
        <v>2.3800000000000003</v>
      </c>
      <c r="J28" s="104" t="s">
        <v>26</v>
      </c>
      <c r="K28" s="217" t="s">
        <v>74</v>
      </c>
      <c r="L28" s="228"/>
      <c r="M28" s="222"/>
      <c r="N28" s="222"/>
      <c r="O28" s="222"/>
    </row>
    <row r="29" spans="1:15" s="63" customFormat="1" ht="11.25">
      <c r="A29" s="99">
        <f t="shared" si="1"/>
        <v>28</v>
      </c>
      <c r="B29" s="99" t="s">
        <v>22</v>
      </c>
      <c r="C29" s="100" t="s">
        <v>22</v>
      </c>
      <c r="D29" s="101" t="s">
        <v>205</v>
      </c>
      <c r="E29" s="99">
        <v>2</v>
      </c>
      <c r="F29" s="99" t="str">
        <f t="shared" si="0"/>
        <v>budynek gospodarczy</v>
      </c>
      <c r="G29" s="99" t="s">
        <v>10</v>
      </c>
      <c r="H29" s="102">
        <f>5*18</f>
        <v>90</v>
      </c>
      <c r="I29" s="103">
        <f t="shared" si="2"/>
        <v>1.53</v>
      </c>
      <c r="J29" s="104" t="s">
        <v>26</v>
      </c>
      <c r="K29" s="217" t="s">
        <v>74</v>
      </c>
      <c r="L29" s="228"/>
      <c r="M29" s="222"/>
      <c r="N29" s="222"/>
      <c r="O29" s="222"/>
    </row>
    <row r="30" spans="1:15" s="63" customFormat="1" ht="19.5" customHeight="1">
      <c r="A30" s="99">
        <f t="shared" si="1"/>
        <v>29</v>
      </c>
      <c r="B30" s="99" t="s">
        <v>22</v>
      </c>
      <c r="C30" s="100" t="s">
        <v>22</v>
      </c>
      <c r="D30" s="101" t="s">
        <v>154</v>
      </c>
      <c r="E30" s="99">
        <v>2</v>
      </c>
      <c r="F30" s="99" t="str">
        <f t="shared" si="0"/>
        <v>budynek gospodarczy</v>
      </c>
      <c r="G30" s="99" t="s">
        <v>10</v>
      </c>
      <c r="H30" s="102">
        <f>4.5*2*10</f>
        <v>90</v>
      </c>
      <c r="I30" s="103">
        <f t="shared" si="2"/>
        <v>1.53</v>
      </c>
      <c r="J30" s="104" t="s">
        <v>26</v>
      </c>
      <c r="K30" s="217" t="s">
        <v>74</v>
      </c>
      <c r="L30" s="228"/>
      <c r="M30" s="222"/>
      <c r="N30" s="222"/>
      <c r="O30" s="222"/>
    </row>
    <row r="31" spans="1:15" s="63" customFormat="1" ht="18" customHeight="1">
      <c r="A31" s="99">
        <f t="shared" si="1"/>
        <v>30</v>
      </c>
      <c r="B31" s="99" t="s">
        <v>22</v>
      </c>
      <c r="C31" s="100" t="s">
        <v>22</v>
      </c>
      <c r="D31" s="101" t="s">
        <v>155</v>
      </c>
      <c r="E31" s="99">
        <v>2</v>
      </c>
      <c r="F31" s="99" t="str">
        <f t="shared" si="0"/>
        <v>budynek gospodarczy</v>
      </c>
      <c r="G31" s="99" t="s">
        <v>10</v>
      </c>
      <c r="H31" s="102">
        <v>200</v>
      </c>
      <c r="I31" s="103">
        <f t="shared" si="2"/>
        <v>3.4000000000000004</v>
      </c>
      <c r="J31" s="104" t="s">
        <v>26</v>
      </c>
      <c r="K31" s="218" t="s">
        <v>206</v>
      </c>
      <c r="L31" s="228"/>
      <c r="M31" s="222"/>
      <c r="N31" s="222"/>
      <c r="O31" s="222"/>
    </row>
    <row r="32" spans="1:15" s="63" customFormat="1" ht="16.5" customHeight="1">
      <c r="A32" s="99">
        <f t="shared" si="1"/>
        <v>31</v>
      </c>
      <c r="B32" s="99" t="s">
        <v>22</v>
      </c>
      <c r="C32" s="100" t="s">
        <v>22</v>
      </c>
      <c r="D32" s="101" t="s">
        <v>155</v>
      </c>
      <c r="E32" s="99">
        <v>2</v>
      </c>
      <c r="F32" s="99" t="str">
        <f t="shared" si="0"/>
        <v>budynek gospodarczy</v>
      </c>
      <c r="G32" s="99" t="s">
        <v>10</v>
      </c>
      <c r="H32" s="102">
        <v>150</v>
      </c>
      <c r="I32" s="103">
        <f t="shared" si="2"/>
        <v>2.5500000000000003</v>
      </c>
      <c r="J32" s="104" t="s">
        <v>26</v>
      </c>
      <c r="K32" s="218" t="s">
        <v>206</v>
      </c>
      <c r="L32" s="228"/>
      <c r="M32" s="222"/>
      <c r="N32" s="222"/>
      <c r="O32" s="222"/>
    </row>
    <row r="33" spans="1:15" s="63" customFormat="1" ht="15.75" customHeight="1">
      <c r="A33" s="99">
        <f t="shared" si="1"/>
        <v>32</v>
      </c>
      <c r="B33" s="99" t="s">
        <v>22</v>
      </c>
      <c r="C33" s="100" t="s">
        <v>22</v>
      </c>
      <c r="D33" s="101" t="s">
        <v>155</v>
      </c>
      <c r="E33" s="99">
        <v>2</v>
      </c>
      <c r="F33" s="99" t="str">
        <f t="shared" si="0"/>
        <v>budynek gospodarczy</v>
      </c>
      <c r="G33" s="99" t="s">
        <v>10</v>
      </c>
      <c r="H33" s="102">
        <f>4*7</f>
        <v>28</v>
      </c>
      <c r="I33" s="103">
        <f t="shared" si="2"/>
        <v>0.47600000000000003</v>
      </c>
      <c r="J33" s="104" t="s">
        <v>23</v>
      </c>
      <c r="K33" s="217" t="s">
        <v>72</v>
      </c>
      <c r="L33" s="228"/>
      <c r="M33" s="222"/>
      <c r="N33" s="222"/>
      <c r="O33" s="222"/>
    </row>
    <row r="34" spans="1:15" s="63" customFormat="1" ht="11.25">
      <c r="A34" s="99">
        <f t="shared" si="1"/>
        <v>33</v>
      </c>
      <c r="B34" s="99" t="s">
        <v>22</v>
      </c>
      <c r="C34" s="100" t="s">
        <v>22</v>
      </c>
      <c r="D34" s="101" t="s">
        <v>156</v>
      </c>
      <c r="E34" s="99">
        <v>2</v>
      </c>
      <c r="F34" s="99" t="str">
        <f t="shared" si="0"/>
        <v>budynek gospodarczy</v>
      </c>
      <c r="G34" s="99" t="s">
        <v>10</v>
      </c>
      <c r="H34" s="102">
        <f>5*10</f>
        <v>50</v>
      </c>
      <c r="I34" s="103">
        <f t="shared" si="2"/>
        <v>0.8500000000000001</v>
      </c>
      <c r="J34" s="104" t="s">
        <v>26</v>
      </c>
      <c r="K34" s="217" t="s">
        <v>74</v>
      </c>
      <c r="L34" s="228"/>
      <c r="M34" s="222"/>
      <c r="N34" s="222"/>
      <c r="O34" s="222"/>
    </row>
    <row r="35" spans="1:15" s="63" customFormat="1" ht="11.25">
      <c r="A35" s="99">
        <f t="shared" si="1"/>
        <v>34</v>
      </c>
      <c r="B35" s="99" t="s">
        <v>22</v>
      </c>
      <c r="C35" s="100" t="s">
        <v>22</v>
      </c>
      <c r="D35" s="101" t="s">
        <v>156</v>
      </c>
      <c r="E35" s="99">
        <v>2</v>
      </c>
      <c r="F35" s="99" t="str">
        <f t="shared" si="0"/>
        <v>budynek gospodarczy</v>
      </c>
      <c r="G35" s="99" t="s">
        <v>10</v>
      </c>
      <c r="H35" s="102">
        <f>7*12</f>
        <v>84</v>
      </c>
      <c r="I35" s="103">
        <f t="shared" si="2"/>
        <v>1.4280000000000002</v>
      </c>
      <c r="J35" s="104" t="s">
        <v>26</v>
      </c>
      <c r="K35" s="217" t="s">
        <v>74</v>
      </c>
      <c r="L35" s="228"/>
      <c r="M35" s="222"/>
      <c r="N35" s="222"/>
      <c r="O35" s="222"/>
    </row>
    <row r="36" spans="1:15" s="63" customFormat="1" ht="15" customHeight="1">
      <c r="A36" s="99">
        <f t="shared" si="1"/>
        <v>35</v>
      </c>
      <c r="B36" s="99" t="s">
        <v>22</v>
      </c>
      <c r="C36" s="100" t="s">
        <v>22</v>
      </c>
      <c r="D36" s="101" t="s">
        <v>157</v>
      </c>
      <c r="E36" s="99">
        <v>2</v>
      </c>
      <c r="F36" s="99" t="str">
        <f t="shared" si="0"/>
        <v>budynek gospodarczy</v>
      </c>
      <c r="G36" s="99" t="s">
        <v>10</v>
      </c>
      <c r="H36" s="102">
        <f>5*2*24</f>
        <v>240</v>
      </c>
      <c r="I36" s="103">
        <f t="shared" si="2"/>
        <v>4.08</v>
      </c>
      <c r="J36" s="104" t="s">
        <v>26</v>
      </c>
      <c r="K36" s="217" t="s">
        <v>74</v>
      </c>
      <c r="L36" s="228"/>
      <c r="M36" s="222"/>
      <c r="N36" s="222"/>
      <c r="O36" s="222"/>
    </row>
    <row r="37" spans="1:15" s="63" customFormat="1" ht="18" customHeight="1">
      <c r="A37" s="99">
        <f t="shared" si="1"/>
        <v>36</v>
      </c>
      <c r="B37" s="99" t="s">
        <v>22</v>
      </c>
      <c r="C37" s="100" t="s">
        <v>22</v>
      </c>
      <c r="D37" s="101" t="s">
        <v>64</v>
      </c>
      <c r="E37" s="99">
        <v>2</v>
      </c>
      <c r="F37" s="99" t="str">
        <f t="shared" si="0"/>
        <v>budynek gospodarczy</v>
      </c>
      <c r="G37" s="99" t="s">
        <v>10</v>
      </c>
      <c r="H37" s="102">
        <f>7*2*16</f>
        <v>224</v>
      </c>
      <c r="I37" s="103">
        <f t="shared" si="2"/>
        <v>3.8080000000000003</v>
      </c>
      <c r="J37" s="104" t="s">
        <v>26</v>
      </c>
      <c r="K37" s="217" t="s">
        <v>74</v>
      </c>
      <c r="L37" s="228"/>
      <c r="M37" s="222"/>
      <c r="N37" s="222"/>
      <c r="O37" s="222"/>
    </row>
    <row r="38" spans="1:15" s="63" customFormat="1" ht="18.75" customHeight="1">
      <c r="A38" s="99">
        <f t="shared" si="1"/>
        <v>37</v>
      </c>
      <c r="B38" s="99" t="s">
        <v>22</v>
      </c>
      <c r="C38" s="100" t="s">
        <v>22</v>
      </c>
      <c r="D38" s="101" t="s">
        <v>64</v>
      </c>
      <c r="E38" s="99">
        <v>2</v>
      </c>
      <c r="F38" s="99" t="str">
        <f t="shared" si="0"/>
        <v>budynek gospodarczy</v>
      </c>
      <c r="G38" s="99" t="s">
        <v>10</v>
      </c>
      <c r="H38" s="102">
        <f>2.5*2*12*5</f>
        <v>300</v>
      </c>
      <c r="I38" s="103">
        <f t="shared" si="2"/>
        <v>5.1000000000000005</v>
      </c>
      <c r="J38" s="104" t="s">
        <v>26</v>
      </c>
      <c r="K38" s="217" t="s">
        <v>74</v>
      </c>
      <c r="L38" s="228"/>
      <c r="M38" s="222"/>
      <c r="N38" s="222"/>
      <c r="O38" s="222"/>
    </row>
    <row r="39" spans="1:15" s="63" customFormat="1" ht="17.25" customHeight="1">
      <c r="A39" s="99">
        <f t="shared" si="1"/>
        <v>38</v>
      </c>
      <c r="B39" s="99" t="s">
        <v>22</v>
      </c>
      <c r="C39" s="100" t="s">
        <v>22</v>
      </c>
      <c r="D39" s="101" t="s">
        <v>158</v>
      </c>
      <c r="E39" s="99">
        <v>2</v>
      </c>
      <c r="F39" s="99" t="str">
        <f t="shared" si="0"/>
        <v>budynek gospodarczy</v>
      </c>
      <c r="G39" s="99" t="s">
        <v>10</v>
      </c>
      <c r="H39" s="102">
        <f>6*2*22</f>
        <v>264</v>
      </c>
      <c r="I39" s="103">
        <f t="shared" si="2"/>
        <v>4.488</v>
      </c>
      <c r="J39" s="104" t="s">
        <v>26</v>
      </c>
      <c r="K39" s="217" t="s">
        <v>74</v>
      </c>
      <c r="L39" s="228"/>
      <c r="M39" s="222"/>
      <c r="N39" s="222"/>
      <c r="O39" s="222"/>
    </row>
    <row r="40" spans="1:15" s="63" customFormat="1" ht="11.25">
      <c r="A40" s="99">
        <f t="shared" si="1"/>
        <v>39</v>
      </c>
      <c r="B40" s="99" t="s">
        <v>22</v>
      </c>
      <c r="C40" s="100" t="s">
        <v>22</v>
      </c>
      <c r="D40" s="101" t="s">
        <v>159</v>
      </c>
      <c r="E40" s="99">
        <v>2</v>
      </c>
      <c r="F40" s="99" t="str">
        <f t="shared" si="0"/>
        <v>budynek gospodarczy</v>
      </c>
      <c r="G40" s="99" t="s">
        <v>10</v>
      </c>
      <c r="H40" s="102">
        <v>20</v>
      </c>
      <c r="I40" s="103">
        <f t="shared" si="2"/>
        <v>0.34</v>
      </c>
      <c r="J40" s="104" t="s">
        <v>23</v>
      </c>
      <c r="K40" s="218" t="s">
        <v>206</v>
      </c>
      <c r="L40" s="228"/>
      <c r="M40" s="222"/>
      <c r="N40" s="222"/>
      <c r="O40" s="222"/>
    </row>
    <row r="41" spans="1:15" s="63" customFormat="1" ht="11.25">
      <c r="A41" s="99">
        <f t="shared" si="1"/>
        <v>40</v>
      </c>
      <c r="B41" s="99" t="s">
        <v>22</v>
      </c>
      <c r="C41" s="100" t="s">
        <v>22</v>
      </c>
      <c r="D41" s="101" t="s">
        <v>159</v>
      </c>
      <c r="E41" s="99">
        <v>2</v>
      </c>
      <c r="F41" s="99" t="str">
        <f t="shared" si="0"/>
        <v>budynek gospodarczy</v>
      </c>
      <c r="G41" s="99" t="s">
        <v>10</v>
      </c>
      <c r="H41" s="102">
        <v>50</v>
      </c>
      <c r="I41" s="103">
        <f t="shared" si="2"/>
        <v>0.8500000000000001</v>
      </c>
      <c r="J41" s="104" t="s">
        <v>23</v>
      </c>
      <c r="K41" s="218" t="s">
        <v>206</v>
      </c>
      <c r="L41" s="228"/>
      <c r="M41" s="222"/>
      <c r="N41" s="222"/>
      <c r="O41" s="222"/>
    </row>
    <row r="42" spans="1:15" s="63" customFormat="1" ht="17.25" customHeight="1">
      <c r="A42" s="99">
        <v>41</v>
      </c>
      <c r="B42" s="99" t="s">
        <v>22</v>
      </c>
      <c r="C42" s="100" t="s">
        <v>22</v>
      </c>
      <c r="D42" s="101" t="s">
        <v>160</v>
      </c>
      <c r="E42" s="99">
        <v>0</v>
      </c>
      <c r="F42" s="99" t="str">
        <f t="shared" si="0"/>
        <v>budynek mieszkalny</v>
      </c>
      <c r="G42" s="99" t="s">
        <v>10</v>
      </c>
      <c r="H42" s="102">
        <f>6*2*10</f>
        <v>120</v>
      </c>
      <c r="I42" s="103">
        <f t="shared" si="2"/>
        <v>2.04</v>
      </c>
      <c r="J42" s="104" t="s">
        <v>24</v>
      </c>
      <c r="K42" s="217" t="s">
        <v>73</v>
      </c>
      <c r="L42" s="229"/>
      <c r="M42" s="222"/>
      <c r="N42" s="222"/>
      <c r="O42" s="222"/>
    </row>
    <row r="43" spans="1:15" s="63" customFormat="1" ht="17.25" customHeight="1">
      <c r="A43" s="99">
        <f t="shared" si="1"/>
        <v>42</v>
      </c>
      <c r="B43" s="99" t="s">
        <v>22</v>
      </c>
      <c r="C43" s="100" t="s">
        <v>22</v>
      </c>
      <c r="D43" s="101" t="s">
        <v>161</v>
      </c>
      <c r="E43" s="99">
        <v>2</v>
      </c>
      <c r="F43" s="99" t="str">
        <f t="shared" si="0"/>
        <v>budynek gospodarczy</v>
      </c>
      <c r="G43" s="99" t="s">
        <v>10</v>
      </c>
      <c r="H43" s="102">
        <f>6*2*11</f>
        <v>132</v>
      </c>
      <c r="I43" s="103">
        <f t="shared" si="2"/>
        <v>2.244</v>
      </c>
      <c r="J43" s="104" t="s">
        <v>26</v>
      </c>
      <c r="K43" s="217" t="s">
        <v>74</v>
      </c>
      <c r="L43" s="229"/>
      <c r="M43" s="222"/>
      <c r="N43" s="222"/>
      <c r="O43" s="222"/>
    </row>
    <row r="44" spans="1:15" s="63" customFormat="1" ht="18" customHeight="1">
      <c r="A44" s="99">
        <f t="shared" si="1"/>
        <v>43</v>
      </c>
      <c r="B44" s="99" t="s">
        <v>22</v>
      </c>
      <c r="C44" s="100" t="s">
        <v>22</v>
      </c>
      <c r="D44" s="101" t="s">
        <v>161</v>
      </c>
      <c r="E44" s="99">
        <v>2</v>
      </c>
      <c r="F44" s="99" t="str">
        <f t="shared" si="0"/>
        <v>budynek gospodarczy</v>
      </c>
      <c r="G44" s="99" t="s">
        <v>10</v>
      </c>
      <c r="H44" s="102">
        <f>5*5</f>
        <v>25</v>
      </c>
      <c r="I44" s="103">
        <f t="shared" si="2"/>
        <v>0.42500000000000004</v>
      </c>
      <c r="J44" s="104" t="s">
        <v>23</v>
      </c>
      <c r="K44" s="217" t="s">
        <v>72</v>
      </c>
      <c r="L44" s="229"/>
      <c r="M44" s="222"/>
      <c r="N44" s="222"/>
      <c r="O44" s="222"/>
    </row>
    <row r="45" spans="1:15" s="76" customFormat="1" ht="11.25">
      <c r="A45" s="99">
        <f t="shared" si="1"/>
        <v>44</v>
      </c>
      <c r="B45" s="99" t="s">
        <v>22</v>
      </c>
      <c r="C45" s="100" t="s">
        <v>22</v>
      </c>
      <c r="D45" s="101" t="s">
        <v>65</v>
      </c>
      <c r="E45" s="99">
        <v>2</v>
      </c>
      <c r="F45" s="99" t="str">
        <f t="shared" si="0"/>
        <v>budynek gospodarczy</v>
      </c>
      <c r="G45" s="99" t="s">
        <v>10</v>
      </c>
      <c r="H45" s="102">
        <f>6*2*35</f>
        <v>420</v>
      </c>
      <c r="I45" s="103">
        <f t="shared" si="2"/>
        <v>7.140000000000001</v>
      </c>
      <c r="J45" s="104" t="s">
        <v>26</v>
      </c>
      <c r="K45" s="218" t="s">
        <v>206</v>
      </c>
      <c r="L45" s="229"/>
      <c r="M45" s="222"/>
      <c r="N45" s="222"/>
      <c r="O45" s="222"/>
    </row>
    <row r="46" spans="1:15" s="76" customFormat="1" ht="11.25">
      <c r="A46" s="99">
        <v>45</v>
      </c>
      <c r="B46" s="190" t="s">
        <v>22</v>
      </c>
      <c r="C46" s="191" t="s">
        <v>22</v>
      </c>
      <c r="D46" s="192" t="s">
        <v>65</v>
      </c>
      <c r="E46" s="99">
        <v>2</v>
      </c>
      <c r="F46" s="99" t="str">
        <f t="shared" si="0"/>
        <v>budynek gospodarczy</v>
      </c>
      <c r="G46" s="190" t="s">
        <v>10</v>
      </c>
      <c r="H46" s="102">
        <v>70</v>
      </c>
      <c r="I46" s="103">
        <f t="shared" si="2"/>
        <v>1.1900000000000002</v>
      </c>
      <c r="J46" s="193" t="s">
        <v>24</v>
      </c>
      <c r="K46" s="218" t="s">
        <v>206</v>
      </c>
      <c r="L46" s="229"/>
      <c r="M46" s="222"/>
      <c r="N46" s="222"/>
      <c r="O46" s="222"/>
    </row>
    <row r="47" spans="1:15" s="76" customFormat="1" ht="11.25">
      <c r="A47" s="99">
        <v>46</v>
      </c>
      <c r="B47" s="99" t="s">
        <v>22</v>
      </c>
      <c r="C47" s="100" t="s">
        <v>22</v>
      </c>
      <c r="D47" s="101" t="s">
        <v>65</v>
      </c>
      <c r="E47" s="99">
        <v>2</v>
      </c>
      <c r="F47" s="99" t="str">
        <f t="shared" si="0"/>
        <v>budynek gospodarczy</v>
      </c>
      <c r="G47" s="99" t="s">
        <v>10</v>
      </c>
      <c r="H47" s="102">
        <f>6*15*2</f>
        <v>180</v>
      </c>
      <c r="I47" s="103">
        <f t="shared" si="2"/>
        <v>3.06</v>
      </c>
      <c r="J47" s="104" t="s">
        <v>26</v>
      </c>
      <c r="K47" s="218" t="s">
        <v>206</v>
      </c>
      <c r="L47" s="229"/>
      <c r="M47" s="222"/>
      <c r="N47" s="222"/>
      <c r="O47" s="222"/>
    </row>
    <row r="48" spans="1:15" s="63" customFormat="1" ht="21" customHeight="1">
      <c r="A48" s="99">
        <f t="shared" si="1"/>
        <v>47</v>
      </c>
      <c r="B48" s="99" t="s">
        <v>22</v>
      </c>
      <c r="C48" s="100" t="s">
        <v>22</v>
      </c>
      <c r="D48" s="101" t="s">
        <v>162</v>
      </c>
      <c r="E48" s="99">
        <v>2</v>
      </c>
      <c r="F48" s="99" t="str">
        <f t="shared" si="0"/>
        <v>budynek gospodarczy</v>
      </c>
      <c r="G48" s="99" t="s">
        <v>10</v>
      </c>
      <c r="H48" s="102">
        <f>5*2*10</f>
        <v>100</v>
      </c>
      <c r="I48" s="103">
        <f t="shared" si="2"/>
        <v>1.7000000000000002</v>
      </c>
      <c r="J48" s="104" t="s">
        <v>26</v>
      </c>
      <c r="K48" s="217" t="s">
        <v>74</v>
      </c>
      <c r="L48" s="229"/>
      <c r="M48" s="222"/>
      <c r="N48" s="222"/>
      <c r="O48" s="222"/>
    </row>
    <row r="49" spans="1:15" s="63" customFormat="1" ht="18" customHeight="1">
      <c r="A49" s="99">
        <f t="shared" si="1"/>
        <v>48</v>
      </c>
      <c r="B49" s="99" t="s">
        <v>22</v>
      </c>
      <c r="C49" s="100" t="s">
        <v>22</v>
      </c>
      <c r="D49" s="101" t="s">
        <v>162</v>
      </c>
      <c r="E49" s="99">
        <v>2</v>
      </c>
      <c r="F49" s="99" t="str">
        <f t="shared" si="0"/>
        <v>budynek gospodarczy</v>
      </c>
      <c r="G49" s="99" t="s">
        <v>10</v>
      </c>
      <c r="H49" s="102">
        <f>5*10</f>
        <v>50</v>
      </c>
      <c r="I49" s="103">
        <f t="shared" si="2"/>
        <v>0.8500000000000001</v>
      </c>
      <c r="J49" s="104" t="s">
        <v>26</v>
      </c>
      <c r="K49" s="217" t="s">
        <v>74</v>
      </c>
      <c r="L49" s="229"/>
      <c r="M49" s="222"/>
      <c r="N49" s="222"/>
      <c r="O49" s="222"/>
    </row>
    <row r="50" spans="1:15" s="63" customFormat="1" ht="18" customHeight="1">
      <c r="A50" s="99">
        <f t="shared" si="1"/>
        <v>49</v>
      </c>
      <c r="B50" s="99" t="s">
        <v>22</v>
      </c>
      <c r="C50" s="100" t="s">
        <v>22</v>
      </c>
      <c r="D50" s="101" t="s">
        <v>163</v>
      </c>
      <c r="E50" s="99">
        <v>0</v>
      </c>
      <c r="F50" s="99" t="str">
        <f t="shared" si="0"/>
        <v>budynek mieszkalny</v>
      </c>
      <c r="G50" s="99" t="s">
        <v>10</v>
      </c>
      <c r="H50" s="102">
        <f>6*2*8</f>
        <v>96</v>
      </c>
      <c r="I50" s="103">
        <f t="shared" si="2"/>
        <v>1.6320000000000001</v>
      </c>
      <c r="J50" s="104" t="s">
        <v>24</v>
      </c>
      <c r="K50" s="217" t="s">
        <v>73</v>
      </c>
      <c r="L50" s="229"/>
      <c r="M50" s="222"/>
      <c r="N50" s="222"/>
      <c r="O50" s="222"/>
    </row>
    <row r="51" spans="1:15" s="63" customFormat="1" ht="11.25">
      <c r="A51" s="99">
        <f t="shared" si="1"/>
        <v>50</v>
      </c>
      <c r="B51" s="99" t="s">
        <v>22</v>
      </c>
      <c r="C51" s="100" t="s">
        <v>22</v>
      </c>
      <c r="D51" s="101" t="s">
        <v>139</v>
      </c>
      <c r="E51" s="99">
        <v>2</v>
      </c>
      <c r="F51" s="99" t="str">
        <f t="shared" si="0"/>
        <v>budynek gospodarczy</v>
      </c>
      <c r="G51" s="99" t="s">
        <v>10</v>
      </c>
      <c r="H51" s="102">
        <f>8*12</f>
        <v>96</v>
      </c>
      <c r="I51" s="103">
        <f t="shared" si="2"/>
        <v>1.6320000000000001</v>
      </c>
      <c r="J51" s="104" t="s">
        <v>26</v>
      </c>
      <c r="K51" s="217" t="s">
        <v>74</v>
      </c>
      <c r="L51" s="229"/>
      <c r="M51" s="222"/>
      <c r="N51" s="222"/>
      <c r="O51" s="222"/>
    </row>
    <row r="52" spans="1:15" s="63" customFormat="1" ht="11.25">
      <c r="A52" s="99">
        <f t="shared" si="1"/>
        <v>51</v>
      </c>
      <c r="B52" s="99" t="s">
        <v>22</v>
      </c>
      <c r="C52" s="100" t="s">
        <v>22</v>
      </c>
      <c r="D52" s="101" t="s">
        <v>139</v>
      </c>
      <c r="E52" s="99">
        <v>0</v>
      </c>
      <c r="F52" s="99" t="str">
        <f t="shared" si="0"/>
        <v>budynek mieszkalny</v>
      </c>
      <c r="G52" s="99" t="s">
        <v>10</v>
      </c>
      <c r="H52" s="102">
        <f>8*20</f>
        <v>160</v>
      </c>
      <c r="I52" s="103">
        <f t="shared" si="2"/>
        <v>2.72</v>
      </c>
      <c r="J52" s="104" t="s">
        <v>24</v>
      </c>
      <c r="K52" s="217" t="s">
        <v>73</v>
      </c>
      <c r="L52" s="229"/>
      <c r="M52" s="222"/>
      <c r="N52" s="222"/>
      <c r="O52" s="222"/>
    </row>
    <row r="53" spans="1:15" s="63" customFormat="1" ht="11.25">
      <c r="A53" s="99">
        <f t="shared" si="1"/>
        <v>52</v>
      </c>
      <c r="B53" s="99" t="s">
        <v>22</v>
      </c>
      <c r="C53" s="100" t="s">
        <v>22</v>
      </c>
      <c r="D53" s="101" t="s">
        <v>139</v>
      </c>
      <c r="E53" s="99">
        <v>2</v>
      </c>
      <c r="F53" s="99" t="str">
        <f t="shared" si="0"/>
        <v>budynek gospodarczy</v>
      </c>
      <c r="G53" s="99" t="s">
        <v>10</v>
      </c>
      <c r="H53" s="102">
        <f>3*6</f>
        <v>18</v>
      </c>
      <c r="I53" s="103">
        <f t="shared" si="2"/>
        <v>0.30600000000000005</v>
      </c>
      <c r="J53" s="104" t="s">
        <v>23</v>
      </c>
      <c r="K53" s="217" t="s">
        <v>72</v>
      </c>
      <c r="L53" s="229"/>
      <c r="M53" s="222"/>
      <c r="N53" s="222"/>
      <c r="O53" s="222"/>
    </row>
    <row r="54" spans="1:15" s="63" customFormat="1" ht="11.25">
      <c r="A54" s="99">
        <f t="shared" si="1"/>
        <v>53</v>
      </c>
      <c r="B54" s="99" t="s">
        <v>22</v>
      </c>
      <c r="C54" s="100" t="s">
        <v>22</v>
      </c>
      <c r="D54" s="101" t="s">
        <v>139</v>
      </c>
      <c r="E54" s="99">
        <v>2</v>
      </c>
      <c r="F54" s="99" t="str">
        <f t="shared" si="0"/>
        <v>budynek gospodarczy</v>
      </c>
      <c r="G54" s="99" t="s">
        <v>10</v>
      </c>
      <c r="H54" s="102">
        <f>6*6</f>
        <v>36</v>
      </c>
      <c r="I54" s="103">
        <f t="shared" si="2"/>
        <v>0.6120000000000001</v>
      </c>
      <c r="J54" s="104" t="s">
        <v>23</v>
      </c>
      <c r="K54" s="217" t="s">
        <v>72</v>
      </c>
      <c r="L54" s="228"/>
      <c r="M54" s="222"/>
      <c r="N54" s="222"/>
      <c r="O54" s="222"/>
    </row>
    <row r="55" spans="1:15" s="63" customFormat="1" ht="11.25">
      <c r="A55" s="99">
        <v>54</v>
      </c>
      <c r="B55" s="99" t="s">
        <v>22</v>
      </c>
      <c r="C55" s="100" t="s">
        <v>22</v>
      </c>
      <c r="D55" s="101" t="s">
        <v>164</v>
      </c>
      <c r="E55" s="99">
        <v>2</v>
      </c>
      <c r="F55" s="99" t="str">
        <f t="shared" si="0"/>
        <v>budynek gospodarczy</v>
      </c>
      <c r="G55" s="99" t="s">
        <v>10</v>
      </c>
      <c r="H55" s="105">
        <f>6*2*12</f>
        <v>144</v>
      </c>
      <c r="I55" s="103">
        <f t="shared" si="2"/>
        <v>2.4480000000000004</v>
      </c>
      <c r="J55" s="104" t="s">
        <v>26</v>
      </c>
      <c r="K55" s="217" t="s">
        <v>74</v>
      </c>
      <c r="L55" s="229"/>
      <c r="M55" s="222"/>
      <c r="N55" s="222"/>
      <c r="O55" s="222"/>
    </row>
    <row r="56" spans="1:15" s="63" customFormat="1" ht="11.25">
      <c r="A56" s="99">
        <f t="shared" si="1"/>
        <v>55</v>
      </c>
      <c r="B56" s="99" t="s">
        <v>22</v>
      </c>
      <c r="C56" s="100" t="s">
        <v>22</v>
      </c>
      <c r="D56" s="101" t="s">
        <v>164</v>
      </c>
      <c r="E56" s="99">
        <v>2</v>
      </c>
      <c r="F56" s="99" t="str">
        <f t="shared" si="0"/>
        <v>budynek gospodarczy</v>
      </c>
      <c r="G56" s="99" t="s">
        <v>10</v>
      </c>
      <c r="H56" s="105">
        <f>6*2*5</f>
        <v>60</v>
      </c>
      <c r="I56" s="103">
        <f t="shared" si="2"/>
        <v>1.02</v>
      </c>
      <c r="J56" s="104" t="s">
        <v>26</v>
      </c>
      <c r="K56" s="217" t="s">
        <v>74</v>
      </c>
      <c r="L56" s="229"/>
      <c r="M56" s="222"/>
      <c r="N56" s="222"/>
      <c r="O56" s="222"/>
    </row>
    <row r="57" spans="1:15" s="63" customFormat="1" ht="11.25">
      <c r="A57" s="99">
        <f t="shared" si="1"/>
        <v>56</v>
      </c>
      <c r="B57" s="99" t="s">
        <v>22</v>
      </c>
      <c r="C57" s="100" t="s">
        <v>22</v>
      </c>
      <c r="D57" s="101" t="s">
        <v>164</v>
      </c>
      <c r="E57" s="99">
        <v>2</v>
      </c>
      <c r="F57" s="99" t="str">
        <f t="shared" si="0"/>
        <v>budynek gospodarczy</v>
      </c>
      <c r="G57" s="99" t="s">
        <v>10</v>
      </c>
      <c r="H57" s="105">
        <f>9*2*22</f>
        <v>396</v>
      </c>
      <c r="I57" s="103">
        <f t="shared" si="2"/>
        <v>6.732</v>
      </c>
      <c r="J57" s="104" t="s">
        <v>26</v>
      </c>
      <c r="K57" s="217" t="s">
        <v>74</v>
      </c>
      <c r="L57" s="229"/>
      <c r="M57" s="222"/>
      <c r="N57" s="222"/>
      <c r="O57" s="222"/>
    </row>
    <row r="58" spans="1:15" s="63" customFormat="1" ht="17.25" customHeight="1">
      <c r="A58" s="99">
        <f t="shared" si="1"/>
        <v>57</v>
      </c>
      <c r="B58" s="99" t="s">
        <v>22</v>
      </c>
      <c r="C58" s="100" t="s">
        <v>22</v>
      </c>
      <c r="D58" s="101" t="s">
        <v>165</v>
      </c>
      <c r="E58" s="99">
        <v>2</v>
      </c>
      <c r="F58" s="99" t="str">
        <f t="shared" si="0"/>
        <v>budynek gospodarczy</v>
      </c>
      <c r="G58" s="99" t="s">
        <v>10</v>
      </c>
      <c r="H58" s="105">
        <f>6*2*20</f>
        <v>240</v>
      </c>
      <c r="I58" s="103">
        <f t="shared" si="2"/>
        <v>4.08</v>
      </c>
      <c r="J58" s="104" t="s">
        <v>26</v>
      </c>
      <c r="K58" s="217" t="s">
        <v>74</v>
      </c>
      <c r="L58" s="229"/>
      <c r="M58" s="222"/>
      <c r="N58" s="222"/>
      <c r="O58" s="222"/>
    </row>
    <row r="59" spans="1:15" s="63" customFormat="1" ht="11.25">
      <c r="A59" s="99">
        <f t="shared" si="1"/>
        <v>58</v>
      </c>
      <c r="B59" s="99" t="s">
        <v>22</v>
      </c>
      <c r="C59" s="100" t="s">
        <v>22</v>
      </c>
      <c r="D59" s="101" t="s">
        <v>166</v>
      </c>
      <c r="E59" s="99">
        <v>2</v>
      </c>
      <c r="F59" s="99" t="str">
        <f t="shared" si="0"/>
        <v>budynek gospodarczy</v>
      </c>
      <c r="G59" s="99" t="s">
        <v>10</v>
      </c>
      <c r="H59" s="105">
        <f>5*10</f>
        <v>50</v>
      </c>
      <c r="I59" s="103">
        <f t="shared" si="2"/>
        <v>0.8500000000000001</v>
      </c>
      <c r="J59" s="104" t="s">
        <v>26</v>
      </c>
      <c r="K59" s="217" t="s">
        <v>74</v>
      </c>
      <c r="L59" s="229"/>
      <c r="M59" s="222"/>
      <c r="N59" s="222"/>
      <c r="O59" s="222"/>
    </row>
    <row r="60" spans="1:15" s="63" customFormat="1" ht="11.25">
      <c r="A60" s="99">
        <f t="shared" si="1"/>
        <v>59</v>
      </c>
      <c r="B60" s="99" t="s">
        <v>22</v>
      </c>
      <c r="C60" s="100" t="s">
        <v>22</v>
      </c>
      <c r="D60" s="101" t="s">
        <v>96</v>
      </c>
      <c r="E60" s="99">
        <v>2</v>
      </c>
      <c r="F60" s="99" t="str">
        <f t="shared" si="0"/>
        <v>budynek gospodarczy</v>
      </c>
      <c r="G60" s="99" t="s">
        <v>10</v>
      </c>
      <c r="H60" s="105">
        <f>5*10</f>
        <v>50</v>
      </c>
      <c r="I60" s="103">
        <f t="shared" si="2"/>
        <v>0.8500000000000001</v>
      </c>
      <c r="J60" s="104" t="s">
        <v>26</v>
      </c>
      <c r="K60" s="217" t="s">
        <v>74</v>
      </c>
      <c r="L60" s="229"/>
      <c r="M60" s="222"/>
      <c r="N60" s="222"/>
      <c r="O60" s="222"/>
    </row>
    <row r="61" spans="1:15" s="63" customFormat="1" ht="15.75" customHeight="1">
      <c r="A61" s="99">
        <v>60</v>
      </c>
      <c r="B61" s="99" t="s">
        <v>22</v>
      </c>
      <c r="C61" s="100" t="s">
        <v>22</v>
      </c>
      <c r="D61" s="101" t="s">
        <v>167</v>
      </c>
      <c r="E61" s="99">
        <v>0</v>
      </c>
      <c r="F61" s="99" t="str">
        <f t="shared" si="0"/>
        <v>budynek mieszkalny</v>
      </c>
      <c r="G61" s="99" t="s">
        <v>10</v>
      </c>
      <c r="H61" s="102">
        <f>7*16*2</f>
        <v>224</v>
      </c>
      <c r="I61" s="103">
        <f t="shared" si="2"/>
        <v>3.8080000000000003</v>
      </c>
      <c r="J61" s="104" t="s">
        <v>24</v>
      </c>
      <c r="K61" s="217" t="s">
        <v>73</v>
      </c>
      <c r="L61" s="229"/>
      <c r="M61" s="222"/>
      <c r="N61" s="222"/>
      <c r="O61" s="222"/>
    </row>
    <row r="62" spans="1:15" s="63" customFormat="1" ht="17.25" customHeight="1">
      <c r="A62" s="99">
        <f t="shared" si="1"/>
        <v>61</v>
      </c>
      <c r="B62" s="99" t="s">
        <v>22</v>
      </c>
      <c r="C62" s="100" t="s">
        <v>22</v>
      </c>
      <c r="D62" s="101" t="s">
        <v>167</v>
      </c>
      <c r="E62" s="99">
        <v>2</v>
      </c>
      <c r="F62" s="99" t="str">
        <f t="shared" si="0"/>
        <v>budynek gospodarczy</v>
      </c>
      <c r="G62" s="99" t="s">
        <v>10</v>
      </c>
      <c r="H62" s="102">
        <f>5*2*22</f>
        <v>220</v>
      </c>
      <c r="I62" s="103">
        <f t="shared" si="2"/>
        <v>3.74</v>
      </c>
      <c r="J62" s="104" t="s">
        <v>26</v>
      </c>
      <c r="K62" s="217" t="s">
        <v>74</v>
      </c>
      <c r="L62" s="230"/>
      <c r="M62" s="221"/>
      <c r="N62" s="222"/>
      <c r="O62" s="222"/>
    </row>
    <row r="63" spans="1:15" s="63" customFormat="1" ht="16.5" customHeight="1">
      <c r="A63" s="99">
        <f t="shared" si="1"/>
        <v>62</v>
      </c>
      <c r="B63" s="99" t="s">
        <v>22</v>
      </c>
      <c r="C63" s="100" t="s">
        <v>22</v>
      </c>
      <c r="D63" s="101" t="s">
        <v>168</v>
      </c>
      <c r="E63" s="99">
        <v>2</v>
      </c>
      <c r="F63" s="99" t="str">
        <f>IF(E63=2,"budynek gospodarczy","budynek mieszkalny")</f>
        <v>budynek gospodarczy</v>
      </c>
      <c r="G63" s="99" t="s">
        <v>10</v>
      </c>
      <c r="H63" s="102">
        <f>6*20</f>
        <v>120</v>
      </c>
      <c r="I63" s="103">
        <f t="shared" si="2"/>
        <v>2.04</v>
      </c>
      <c r="J63" s="104" t="s">
        <v>26</v>
      </c>
      <c r="K63" s="217" t="s">
        <v>74</v>
      </c>
      <c r="L63" s="229"/>
      <c r="M63" s="222"/>
      <c r="N63" s="222"/>
      <c r="O63" s="222"/>
    </row>
    <row r="64" spans="1:15" s="63" customFormat="1" ht="16.5" customHeight="1">
      <c r="A64" s="99">
        <f>A63+1</f>
        <v>63</v>
      </c>
      <c r="B64" s="99" t="s">
        <v>22</v>
      </c>
      <c r="C64" s="100" t="s">
        <v>22</v>
      </c>
      <c r="D64" s="101" t="s">
        <v>168</v>
      </c>
      <c r="E64" s="99">
        <v>2</v>
      </c>
      <c r="F64" s="99" t="str">
        <f>IF(E64=2,"budynek gospodarczy","budynek mieszkalny")</f>
        <v>budynek gospodarczy</v>
      </c>
      <c r="G64" s="99" t="s">
        <v>10</v>
      </c>
      <c r="H64" s="102">
        <f>4.5*10</f>
        <v>45</v>
      </c>
      <c r="I64" s="103">
        <f t="shared" si="2"/>
        <v>0.765</v>
      </c>
      <c r="J64" s="104" t="s">
        <v>23</v>
      </c>
      <c r="K64" s="217" t="s">
        <v>72</v>
      </c>
      <c r="L64" s="229"/>
      <c r="M64" s="222"/>
      <c r="N64" s="222"/>
      <c r="O64" s="222"/>
    </row>
    <row r="65" spans="1:15" s="63" customFormat="1" ht="21.75" customHeight="1">
      <c r="A65" s="99">
        <f>A64+1</f>
        <v>64</v>
      </c>
      <c r="B65" s="99" t="s">
        <v>22</v>
      </c>
      <c r="C65" s="100" t="s">
        <v>22</v>
      </c>
      <c r="D65" s="101" t="s">
        <v>62</v>
      </c>
      <c r="E65" s="99">
        <v>2</v>
      </c>
      <c r="F65" s="99" t="str">
        <f>IF(E65=2,"budynek gospodarczy","budynek mieszkalny")</f>
        <v>budynek gospodarczy</v>
      </c>
      <c r="G65" s="99" t="s">
        <v>10</v>
      </c>
      <c r="H65" s="102">
        <f>5*2*12</f>
        <v>120</v>
      </c>
      <c r="I65" s="103">
        <f>0.017*H65</f>
        <v>2.04</v>
      </c>
      <c r="J65" s="104" t="s">
        <v>26</v>
      </c>
      <c r="K65" s="217" t="s">
        <v>74</v>
      </c>
      <c r="L65" s="229"/>
      <c r="M65" s="222"/>
      <c r="N65" s="222"/>
      <c r="O65" s="222"/>
    </row>
    <row r="66" spans="9:11" ht="11.25">
      <c r="I66" s="60"/>
      <c r="J66" s="6"/>
      <c r="K66" s="6"/>
    </row>
    <row r="67" spans="7:11" ht="11.25">
      <c r="G67" s="2" t="s">
        <v>11</v>
      </c>
      <c r="H67" s="13">
        <f>SUM(H2:H65)</f>
        <v>6484.5</v>
      </c>
      <c r="I67" s="61">
        <f>SUM(I2:I65)</f>
        <v>110.23649999999999</v>
      </c>
      <c r="J67" s="7"/>
      <c r="K67" s="7"/>
    </row>
    <row r="69" spans="6:14" ht="11.25">
      <c r="F69" s="8" t="s">
        <v>12</v>
      </c>
      <c r="G69" s="8" t="s">
        <v>13</v>
      </c>
      <c r="H69" s="8" t="s">
        <v>14</v>
      </c>
      <c r="I69" s="8" t="s">
        <v>15</v>
      </c>
      <c r="J69" s="256" t="s">
        <v>232</v>
      </c>
      <c r="K69" s="180" t="s">
        <v>230</v>
      </c>
      <c r="L69" s="180" t="s">
        <v>227</v>
      </c>
      <c r="M69" s="180" t="s">
        <v>228</v>
      </c>
      <c r="N69" s="180" t="s">
        <v>229</v>
      </c>
    </row>
    <row r="70" spans="6:14" ht="11.25">
      <c r="F70" s="10" t="s">
        <v>16</v>
      </c>
      <c r="G70" s="10">
        <v>4</v>
      </c>
      <c r="H70" s="14">
        <v>600</v>
      </c>
      <c r="I70" s="59">
        <v>10.2</v>
      </c>
      <c r="J70" s="257"/>
      <c r="K70" s="5"/>
      <c r="L70" s="11"/>
      <c r="M70" s="10">
        <v>600</v>
      </c>
      <c r="N70" s="11"/>
    </row>
    <row r="71" spans="6:14" ht="11.25">
      <c r="F71" s="10" t="s">
        <v>17</v>
      </c>
      <c r="G71" s="10">
        <v>59</v>
      </c>
      <c r="H71" s="14">
        <f>SUMIF(E$2:I65,E2,H$2:H65)</f>
        <v>5867.5</v>
      </c>
      <c r="I71" s="59">
        <f>SUMIF(E$2:I65,E2,I$2:I65)</f>
        <v>99.7475</v>
      </c>
      <c r="J71" s="258"/>
      <c r="K71" s="10">
        <v>1090</v>
      </c>
      <c r="L71" s="10">
        <v>593.5</v>
      </c>
      <c r="N71" s="10">
        <v>4184</v>
      </c>
    </row>
    <row r="72" spans="6:14" ht="11.25">
      <c r="F72" s="10" t="s">
        <v>18</v>
      </c>
      <c r="G72" s="10">
        <v>1</v>
      </c>
      <c r="H72" s="14">
        <v>17</v>
      </c>
      <c r="I72" s="59">
        <v>0.289</v>
      </c>
      <c r="J72" s="259">
        <v>1117.059</v>
      </c>
      <c r="K72" s="59">
        <v>17</v>
      </c>
      <c r="L72" s="59"/>
      <c r="M72" s="59"/>
      <c r="N72" s="59"/>
    </row>
    <row r="73" spans="6:14" ht="11.25">
      <c r="F73" s="10" t="s">
        <v>10</v>
      </c>
      <c r="G73" s="10">
        <v>64</v>
      </c>
      <c r="H73" s="14">
        <f>SUMIF(G$2:I65,G3,H$2:H65)</f>
        <v>6484.5</v>
      </c>
      <c r="I73" s="59">
        <f>SUMIF(G$2:I65,G$2,I$2:I65)</f>
        <v>110.23649999999999</v>
      </c>
      <c r="J73" s="259">
        <v>1117.059</v>
      </c>
      <c r="K73" s="59">
        <v>1107</v>
      </c>
      <c r="L73" s="59">
        <v>593.5</v>
      </c>
      <c r="M73" s="59">
        <v>600</v>
      </c>
      <c r="N73" s="59">
        <v>4184</v>
      </c>
    </row>
    <row r="74" spans="6:14" ht="11.25">
      <c r="F74" s="10" t="s">
        <v>19</v>
      </c>
      <c r="G74" s="10">
        <v>0</v>
      </c>
      <c r="H74" s="14">
        <f>SUMIF(G$2:I66,#REF!,H$2:H66)</f>
        <v>0</v>
      </c>
      <c r="I74" s="59">
        <f>SUMIF(G$2:I66,#REF!,I$2:I66)</f>
        <v>0</v>
      </c>
      <c r="J74" s="257"/>
      <c r="K74" s="11"/>
      <c r="L74" s="11"/>
      <c r="M74" s="11"/>
      <c r="N74" s="11"/>
    </row>
    <row r="75" spans="6:14" ht="11.25">
      <c r="F75" s="10" t="s">
        <v>20</v>
      </c>
      <c r="G75" s="10">
        <v>0</v>
      </c>
      <c r="H75" s="14">
        <f>SUMIF(G$2:I67,#REF!,H$2:H67)</f>
        <v>0</v>
      </c>
      <c r="I75" s="59">
        <f>SUMIF(G$2:I67,#REF!,I$2:I67)</f>
        <v>0</v>
      </c>
      <c r="J75" s="257"/>
      <c r="K75" s="11"/>
      <c r="L75" s="11"/>
      <c r="M75" s="11"/>
      <c r="N75" s="11"/>
    </row>
    <row r="76" spans="6:14" ht="11.25">
      <c r="F76" s="10" t="s">
        <v>21</v>
      </c>
      <c r="G76" s="10">
        <v>0</v>
      </c>
      <c r="H76" s="12"/>
      <c r="I76" s="12"/>
      <c r="J76" s="257"/>
      <c r="K76" s="11"/>
      <c r="L76" s="11"/>
      <c r="M76" s="11"/>
      <c r="N76" s="11"/>
    </row>
  </sheetData>
  <sheetProtection/>
  <autoFilter ref="A1:O65"/>
  <printOptions/>
  <pageMargins left="0.31" right="0.27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D17" sqref="D17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1" width="9.140625" style="2" customWidth="1" outlineLevel="1"/>
    <col min="12" max="12" width="9.8515625" style="15" customWidth="1"/>
    <col min="13" max="13" width="9.8515625" style="2" customWidth="1"/>
    <col min="14" max="14" width="10.28125" style="2" customWidth="1"/>
    <col min="15" max="15" width="10.140625" style="2" customWidth="1"/>
    <col min="16" max="16384" width="9.140625" style="2" customWidth="1"/>
  </cols>
  <sheetData>
    <row r="1" spans="1:15" s="1" customFormat="1" ht="45">
      <c r="A1" s="78" t="s">
        <v>0</v>
      </c>
      <c r="B1" s="78" t="s">
        <v>1</v>
      </c>
      <c r="C1" s="78" t="s">
        <v>2</v>
      </c>
      <c r="D1" s="79" t="s">
        <v>3</v>
      </c>
      <c r="E1" s="78"/>
      <c r="F1" s="78" t="s">
        <v>4</v>
      </c>
      <c r="G1" s="78" t="s">
        <v>5</v>
      </c>
      <c r="H1" s="78" t="s">
        <v>6</v>
      </c>
      <c r="I1" s="78" t="s">
        <v>7</v>
      </c>
      <c r="J1" s="78" t="s">
        <v>8</v>
      </c>
      <c r="K1" s="206" t="s">
        <v>9</v>
      </c>
      <c r="L1" s="214"/>
      <c r="M1" s="201"/>
      <c r="N1" s="201"/>
      <c r="O1" s="201"/>
    </row>
    <row r="2" spans="1:15" ht="11.25">
      <c r="A2" s="10">
        <v>1</v>
      </c>
      <c r="B2" s="10" t="s">
        <v>54</v>
      </c>
      <c r="C2" s="93" t="s">
        <v>36</v>
      </c>
      <c r="D2" s="94" t="s">
        <v>169</v>
      </c>
      <c r="E2" s="10">
        <v>2</v>
      </c>
      <c r="F2" s="10" t="str">
        <f aca="true" t="shared" si="0" ref="F2:F7">IF(E2=2,"budynek gospodarczy","budynek mieszkalny")</f>
        <v>budynek gospodarczy</v>
      </c>
      <c r="G2" s="10" t="s">
        <v>10</v>
      </c>
      <c r="H2" s="14">
        <f>3*2*8</f>
        <v>48</v>
      </c>
      <c r="I2" s="59">
        <f aca="true" t="shared" si="1" ref="I2:I7">0.017*H2</f>
        <v>0.8160000000000001</v>
      </c>
      <c r="J2" s="95" t="s">
        <v>23</v>
      </c>
      <c r="K2" s="211" t="s">
        <v>72</v>
      </c>
      <c r="L2" s="232"/>
      <c r="M2" s="212"/>
      <c r="N2" s="213"/>
      <c r="O2" s="213"/>
    </row>
    <row r="3" spans="1:15" ht="11.25">
      <c r="A3" s="10">
        <v>2</v>
      </c>
      <c r="B3" s="10" t="s">
        <v>54</v>
      </c>
      <c r="C3" s="93" t="s">
        <v>36</v>
      </c>
      <c r="D3" s="94" t="s">
        <v>169</v>
      </c>
      <c r="E3" s="10">
        <v>2</v>
      </c>
      <c r="F3" s="10" t="str">
        <f t="shared" si="0"/>
        <v>budynek gospodarczy</v>
      </c>
      <c r="G3" s="10" t="s">
        <v>10</v>
      </c>
      <c r="H3" s="14">
        <f>4*2*12</f>
        <v>96</v>
      </c>
      <c r="I3" s="59">
        <f t="shared" si="1"/>
        <v>1.6320000000000001</v>
      </c>
      <c r="J3" s="95" t="s">
        <v>26</v>
      </c>
      <c r="K3" s="211" t="s">
        <v>74</v>
      </c>
      <c r="L3" s="232"/>
      <c r="M3" s="212"/>
      <c r="N3" s="213"/>
      <c r="O3" s="213"/>
    </row>
    <row r="4" spans="1:15" s="63" customFormat="1" ht="17.25" customHeight="1">
      <c r="A4" s="81">
        <v>3</v>
      </c>
      <c r="B4" s="81" t="s">
        <v>54</v>
      </c>
      <c r="C4" s="82" t="s">
        <v>36</v>
      </c>
      <c r="D4" s="83" t="s">
        <v>170</v>
      </c>
      <c r="E4" s="81">
        <v>2</v>
      </c>
      <c r="F4" s="81" t="str">
        <f t="shared" si="0"/>
        <v>budynek gospodarczy</v>
      </c>
      <c r="G4" s="81" t="s">
        <v>10</v>
      </c>
      <c r="H4" s="84">
        <f>3*2*16</f>
        <v>96</v>
      </c>
      <c r="I4" s="85">
        <f t="shared" si="1"/>
        <v>1.6320000000000001</v>
      </c>
      <c r="J4" s="86" t="s">
        <v>26</v>
      </c>
      <c r="K4" s="207" t="s">
        <v>74</v>
      </c>
      <c r="L4" s="202"/>
      <c r="M4" s="231"/>
      <c r="N4" s="204"/>
      <c r="O4" s="204"/>
    </row>
    <row r="5" spans="1:15" s="63" customFormat="1" ht="15.75" customHeight="1">
      <c r="A5" s="81">
        <v>4</v>
      </c>
      <c r="B5" s="81" t="s">
        <v>54</v>
      </c>
      <c r="C5" s="82" t="s">
        <v>36</v>
      </c>
      <c r="D5" s="83" t="s">
        <v>171</v>
      </c>
      <c r="E5" s="81">
        <v>2</v>
      </c>
      <c r="F5" s="81" t="str">
        <f t="shared" si="0"/>
        <v>budynek gospodarczy</v>
      </c>
      <c r="G5" s="81" t="s">
        <v>10</v>
      </c>
      <c r="H5" s="84">
        <f>7*2*12</f>
        <v>168</v>
      </c>
      <c r="I5" s="85">
        <f t="shared" si="1"/>
        <v>2.8560000000000003</v>
      </c>
      <c r="J5" s="86" t="s">
        <v>26</v>
      </c>
      <c r="K5" s="207" t="s">
        <v>74</v>
      </c>
      <c r="L5" s="202"/>
      <c r="M5" s="231"/>
      <c r="N5" s="204"/>
      <c r="O5" s="204"/>
    </row>
    <row r="6" spans="1:15" s="63" customFormat="1" ht="11.25">
      <c r="A6" s="81">
        <v>5</v>
      </c>
      <c r="B6" s="81" t="s">
        <v>54</v>
      </c>
      <c r="C6" s="82" t="s">
        <v>36</v>
      </c>
      <c r="D6" s="83" t="s">
        <v>172</v>
      </c>
      <c r="E6" s="81">
        <v>2</v>
      </c>
      <c r="F6" s="81" t="str">
        <f t="shared" si="0"/>
        <v>budynek gospodarczy</v>
      </c>
      <c r="G6" s="81" t="s">
        <v>10</v>
      </c>
      <c r="H6" s="84">
        <f>4*2*20</f>
        <v>160</v>
      </c>
      <c r="I6" s="85">
        <f t="shared" si="1"/>
        <v>2.72</v>
      </c>
      <c r="J6" s="86" t="s">
        <v>26</v>
      </c>
      <c r="K6" s="207" t="s">
        <v>74</v>
      </c>
      <c r="L6" s="202"/>
      <c r="M6" s="231"/>
      <c r="N6" s="204"/>
      <c r="O6" s="204"/>
    </row>
    <row r="7" spans="1:15" s="63" customFormat="1" ht="11.25">
      <c r="A7" s="81">
        <v>6</v>
      </c>
      <c r="B7" s="81" t="s">
        <v>54</v>
      </c>
      <c r="C7" s="82" t="s">
        <v>36</v>
      </c>
      <c r="D7" s="83" t="s">
        <v>172</v>
      </c>
      <c r="E7" s="81">
        <v>2</v>
      </c>
      <c r="F7" s="81" t="str">
        <f t="shared" si="0"/>
        <v>budynek gospodarczy</v>
      </c>
      <c r="G7" s="81" t="s">
        <v>10</v>
      </c>
      <c r="H7" s="84">
        <f>4*2*10</f>
        <v>80</v>
      </c>
      <c r="I7" s="85">
        <f t="shared" si="1"/>
        <v>1.36</v>
      </c>
      <c r="J7" s="86" t="s">
        <v>26</v>
      </c>
      <c r="K7" s="207" t="s">
        <v>74</v>
      </c>
      <c r="L7" s="202"/>
      <c r="M7" s="231"/>
      <c r="N7" s="204"/>
      <c r="O7" s="204"/>
    </row>
    <row r="8" spans="9:11" ht="11.25">
      <c r="I8" s="60"/>
      <c r="J8" s="6"/>
      <c r="K8" s="6"/>
    </row>
    <row r="9" spans="7:11" ht="11.25">
      <c r="G9" s="2" t="s">
        <v>11</v>
      </c>
      <c r="H9" s="13">
        <f>SUM(H2:H7)</f>
        <v>648</v>
      </c>
      <c r="I9" s="61">
        <f>SUM(I2:I7)</f>
        <v>11.016</v>
      </c>
      <c r="J9" s="7"/>
      <c r="K9" s="7"/>
    </row>
    <row r="11" spans="6:14" ht="11.25">
      <c r="F11" s="8" t="s">
        <v>12</v>
      </c>
      <c r="G11" s="8" t="s">
        <v>13</v>
      </c>
      <c r="H11" s="8" t="s">
        <v>14</v>
      </c>
      <c r="I11" s="8" t="s">
        <v>15</v>
      </c>
      <c r="J11" s="256" t="s">
        <v>234</v>
      </c>
      <c r="K11" s="180" t="s">
        <v>230</v>
      </c>
      <c r="L11" s="180" t="s">
        <v>227</v>
      </c>
      <c r="M11" s="180" t="s">
        <v>228</v>
      </c>
      <c r="N11" s="180" t="s">
        <v>229</v>
      </c>
    </row>
    <row r="12" spans="6:14" ht="11.25">
      <c r="F12" s="10" t="s">
        <v>16</v>
      </c>
      <c r="G12" s="10">
        <v>0</v>
      </c>
      <c r="H12" s="14">
        <f>SUMIF(E$2:I7,E8,H$2:H7)</f>
        <v>0</v>
      </c>
      <c r="I12" s="59">
        <f>SUMIF(E$2:I7,E8,I$2:I7)</f>
        <v>0</v>
      </c>
      <c r="J12" s="257"/>
      <c r="K12" s="5"/>
      <c r="L12" s="11"/>
      <c r="M12" s="17"/>
      <c r="N12" s="11"/>
    </row>
    <row r="13" spans="6:14" ht="11.25">
      <c r="F13" s="10" t="s">
        <v>17</v>
      </c>
      <c r="G13" s="10">
        <v>6</v>
      </c>
      <c r="H13" s="14">
        <f>SUMIF(E$2:I7,E2,H$2:H7)</f>
        <v>648</v>
      </c>
      <c r="I13" s="59">
        <f>SUMIF(E$2:I7,E2,I$2:I7)</f>
        <v>11.016</v>
      </c>
      <c r="J13" s="258"/>
      <c r="K13" s="10"/>
      <c r="L13" s="10">
        <v>48</v>
      </c>
      <c r="M13" s="15"/>
      <c r="N13" s="10">
        <v>600</v>
      </c>
    </row>
    <row r="14" spans="6:14" ht="11.25">
      <c r="F14" s="10" t="s">
        <v>18</v>
      </c>
      <c r="G14" s="10">
        <v>0</v>
      </c>
      <c r="H14" s="14">
        <f>SUMIF(E$2:I8,#REF!,H$2:H8)</f>
        <v>0</v>
      </c>
      <c r="I14" s="59">
        <f>SUMIF(E$2:I8,#REF!,I$2:I8)</f>
        <v>0</v>
      </c>
      <c r="J14" s="259">
        <v>7.647</v>
      </c>
      <c r="K14" s="59"/>
      <c r="L14" s="59"/>
      <c r="M14" s="62"/>
      <c r="N14" s="59"/>
    </row>
    <row r="15" spans="6:14" ht="11.25">
      <c r="F15" s="10" t="s">
        <v>10</v>
      </c>
      <c r="G15" s="10">
        <v>6</v>
      </c>
      <c r="H15" s="14">
        <f>SUMIF(G$2:I7,G3,H$2:H7)</f>
        <v>648</v>
      </c>
      <c r="I15" s="59">
        <f>SUMIF(G$2:I7,G$2,I$2:I7)</f>
        <v>11.016</v>
      </c>
      <c r="J15" s="259">
        <v>7.647</v>
      </c>
      <c r="K15" s="59"/>
      <c r="L15" s="59">
        <v>48</v>
      </c>
      <c r="M15" s="62"/>
      <c r="N15" s="59">
        <v>600</v>
      </c>
    </row>
    <row r="16" spans="6:14" ht="11.25">
      <c r="F16" s="10" t="s">
        <v>19</v>
      </c>
      <c r="G16" s="10">
        <v>0</v>
      </c>
      <c r="H16" s="14">
        <f>SUMIF(G$2:I8,#REF!,H$2:H8)</f>
        <v>0</v>
      </c>
      <c r="I16" s="59">
        <f>SUMIF(G$2:I8,#REF!,I$2:I8)</f>
        <v>0</v>
      </c>
      <c r="J16" s="257"/>
      <c r="K16" s="11"/>
      <c r="L16" s="11"/>
      <c r="M16" s="16"/>
      <c r="N16" s="11"/>
    </row>
    <row r="17" spans="6:14" ht="11.25">
      <c r="F17" s="10" t="s">
        <v>20</v>
      </c>
      <c r="G17" s="10">
        <v>0</v>
      </c>
      <c r="H17" s="14">
        <f>SUMIF(G$2:I9,#REF!,H$2:H9)</f>
        <v>0</v>
      </c>
      <c r="I17" s="59">
        <f>SUMIF(G$2:I9,#REF!,I$2:I9)</f>
        <v>0</v>
      </c>
      <c r="J17" s="257"/>
      <c r="K17" s="11"/>
      <c r="L17" s="11"/>
      <c r="M17" s="16"/>
      <c r="N17" s="11"/>
    </row>
    <row r="18" spans="6:14" ht="11.25">
      <c r="F18" s="10" t="s">
        <v>21</v>
      </c>
      <c r="G18" s="10">
        <v>0</v>
      </c>
      <c r="H18" s="12"/>
      <c r="I18" s="12"/>
      <c r="J18" s="257"/>
      <c r="K18" s="11"/>
      <c r="L18" s="11"/>
      <c r="M18" s="16"/>
      <c r="N18" s="11"/>
    </row>
  </sheetData>
  <sheetProtection/>
  <autoFilter ref="A1:O7"/>
  <printOptions/>
  <pageMargins left="0.31" right="0.27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N10" sqref="N10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1" width="9.140625" style="2" customWidth="1" outlineLevel="1"/>
    <col min="12" max="12" width="9.8515625" style="15" customWidth="1"/>
    <col min="13" max="13" width="9.8515625" style="2" customWidth="1"/>
    <col min="14" max="14" width="10.28125" style="2" customWidth="1"/>
    <col min="15" max="15" width="10.140625" style="2" customWidth="1"/>
    <col min="16" max="16384" width="9.140625" style="2" customWidth="1"/>
  </cols>
  <sheetData>
    <row r="1" spans="1:15" s="1" customFormat="1" ht="45">
      <c r="A1" s="97" t="s">
        <v>0</v>
      </c>
      <c r="B1" s="97" t="s">
        <v>1</v>
      </c>
      <c r="C1" s="97" t="s">
        <v>2</v>
      </c>
      <c r="D1" s="98" t="s">
        <v>3</v>
      </c>
      <c r="E1" s="97"/>
      <c r="F1" s="97" t="s">
        <v>4</v>
      </c>
      <c r="G1" s="97" t="s">
        <v>5</v>
      </c>
      <c r="H1" s="97" t="s">
        <v>6</v>
      </c>
      <c r="I1" s="97" t="s">
        <v>7</v>
      </c>
      <c r="J1" s="97" t="s">
        <v>8</v>
      </c>
      <c r="K1" s="216" t="s">
        <v>9</v>
      </c>
      <c r="L1" s="224"/>
      <c r="M1" s="220"/>
      <c r="N1" s="220"/>
      <c r="O1" s="220"/>
    </row>
    <row r="2" spans="1:15" s="77" customFormat="1" ht="17.25" customHeight="1">
      <c r="A2" s="107">
        <v>1</v>
      </c>
      <c r="B2" s="107" t="s">
        <v>35</v>
      </c>
      <c r="C2" s="108" t="s">
        <v>35</v>
      </c>
      <c r="D2" s="109" t="s">
        <v>173</v>
      </c>
      <c r="E2" s="107">
        <v>2</v>
      </c>
      <c r="F2" s="107" t="str">
        <f aca="true" t="shared" si="0" ref="F2:F16">IF(E2=2,"budynek gospodarczy","budynek mieszkalny")</f>
        <v>budynek gospodarczy</v>
      </c>
      <c r="G2" s="107" t="s">
        <v>10</v>
      </c>
      <c r="H2" s="110">
        <f>2*4*8</f>
        <v>64</v>
      </c>
      <c r="I2" s="103">
        <f>0.017*H2</f>
        <v>1.088</v>
      </c>
      <c r="J2" s="112" t="s">
        <v>26</v>
      </c>
      <c r="K2" s="233" t="s">
        <v>74</v>
      </c>
      <c r="L2" s="235"/>
      <c r="M2" s="234"/>
      <c r="N2" s="234"/>
      <c r="O2" s="234"/>
    </row>
    <row r="3" spans="1:15" s="63" customFormat="1" ht="18" customHeight="1">
      <c r="A3" s="99">
        <v>2</v>
      </c>
      <c r="B3" s="99" t="s">
        <v>35</v>
      </c>
      <c r="C3" s="100" t="s">
        <v>35</v>
      </c>
      <c r="D3" s="101"/>
      <c r="E3" s="99">
        <v>2</v>
      </c>
      <c r="F3" s="99" t="str">
        <f t="shared" si="0"/>
        <v>budynek gospodarczy</v>
      </c>
      <c r="G3" s="99" t="s">
        <v>10</v>
      </c>
      <c r="H3" s="102">
        <f>4*2*12</f>
        <v>96</v>
      </c>
      <c r="I3" s="103">
        <f>0.017*H3</f>
        <v>1.6320000000000001</v>
      </c>
      <c r="J3" s="104" t="s">
        <v>26</v>
      </c>
      <c r="K3" s="217" t="s">
        <v>74</v>
      </c>
      <c r="L3" s="230"/>
      <c r="M3" s="222"/>
      <c r="N3" s="222"/>
      <c r="O3" s="222"/>
    </row>
    <row r="4" spans="1:15" s="63" customFormat="1" ht="15.75" customHeight="1">
      <c r="A4" s="99">
        <f aca="true" t="shared" si="1" ref="A4:A16">A3+1</f>
        <v>3</v>
      </c>
      <c r="B4" s="99" t="s">
        <v>35</v>
      </c>
      <c r="C4" s="100" t="s">
        <v>35</v>
      </c>
      <c r="D4" s="101" t="s">
        <v>174</v>
      </c>
      <c r="E4" s="99">
        <v>2</v>
      </c>
      <c r="F4" s="99" t="str">
        <f t="shared" si="0"/>
        <v>budynek gospodarczy</v>
      </c>
      <c r="G4" s="99" t="s">
        <v>10</v>
      </c>
      <c r="H4" s="102">
        <v>200</v>
      </c>
      <c r="I4" s="103">
        <f aca="true" t="shared" si="2" ref="I4:I16">0.017*H4</f>
        <v>3.4000000000000004</v>
      </c>
      <c r="J4" s="104" t="s">
        <v>26</v>
      </c>
      <c r="K4" s="217" t="s">
        <v>74</v>
      </c>
      <c r="L4" s="230"/>
      <c r="M4" s="222"/>
      <c r="N4" s="222"/>
      <c r="O4" s="222"/>
    </row>
    <row r="5" spans="1:15" s="63" customFormat="1" ht="11.25">
      <c r="A5" s="99">
        <v>4</v>
      </c>
      <c r="B5" s="190" t="s">
        <v>35</v>
      </c>
      <c r="C5" s="191" t="s">
        <v>35</v>
      </c>
      <c r="D5" s="192" t="s">
        <v>212</v>
      </c>
      <c r="E5" s="99">
        <v>3</v>
      </c>
      <c r="F5" s="194" t="s">
        <v>18</v>
      </c>
      <c r="G5" s="190" t="s">
        <v>10</v>
      </c>
      <c r="H5" s="102">
        <v>200</v>
      </c>
      <c r="I5" s="103">
        <f t="shared" si="2"/>
        <v>3.4000000000000004</v>
      </c>
      <c r="J5" s="193" t="s">
        <v>23</v>
      </c>
      <c r="K5" s="218" t="s">
        <v>206</v>
      </c>
      <c r="L5" s="230"/>
      <c r="M5" s="222"/>
      <c r="N5" s="222"/>
      <c r="O5" s="222"/>
    </row>
    <row r="6" spans="1:15" s="63" customFormat="1" ht="11.25">
      <c r="A6" s="99">
        <v>5</v>
      </c>
      <c r="B6" s="99" t="s">
        <v>35</v>
      </c>
      <c r="C6" s="100" t="s">
        <v>35</v>
      </c>
      <c r="D6" s="101" t="s">
        <v>175</v>
      </c>
      <c r="E6" s="99">
        <v>2</v>
      </c>
      <c r="F6" s="99" t="str">
        <f t="shared" si="0"/>
        <v>budynek gospodarczy</v>
      </c>
      <c r="G6" s="99" t="s">
        <v>10</v>
      </c>
      <c r="H6" s="102">
        <f>5*2*12</f>
        <v>120</v>
      </c>
      <c r="I6" s="103">
        <f t="shared" si="2"/>
        <v>2.04</v>
      </c>
      <c r="J6" s="104" t="s">
        <v>26</v>
      </c>
      <c r="K6" s="217" t="s">
        <v>74</v>
      </c>
      <c r="L6" s="230"/>
      <c r="M6" s="222"/>
      <c r="N6" s="222"/>
      <c r="O6" s="222"/>
    </row>
    <row r="7" spans="1:15" s="63" customFormat="1" ht="11.25">
      <c r="A7" s="99">
        <f t="shared" si="1"/>
        <v>6</v>
      </c>
      <c r="B7" s="99" t="s">
        <v>35</v>
      </c>
      <c r="C7" s="100" t="s">
        <v>35</v>
      </c>
      <c r="D7" s="101" t="s">
        <v>175</v>
      </c>
      <c r="E7" s="99">
        <v>2</v>
      </c>
      <c r="F7" s="99" t="str">
        <f t="shared" si="0"/>
        <v>budynek gospodarczy</v>
      </c>
      <c r="G7" s="99" t="s">
        <v>10</v>
      </c>
      <c r="H7" s="102">
        <f>7*2*10</f>
        <v>140</v>
      </c>
      <c r="I7" s="103">
        <f t="shared" si="2"/>
        <v>2.3800000000000003</v>
      </c>
      <c r="J7" s="104" t="s">
        <v>26</v>
      </c>
      <c r="K7" s="217" t="s">
        <v>74</v>
      </c>
      <c r="L7" s="230"/>
      <c r="M7" s="222"/>
      <c r="N7" s="222"/>
      <c r="O7" s="222"/>
    </row>
    <row r="8" spans="1:15" s="63" customFormat="1" ht="11.25">
      <c r="A8" s="99">
        <f t="shared" si="1"/>
        <v>7</v>
      </c>
      <c r="B8" s="99" t="s">
        <v>35</v>
      </c>
      <c r="C8" s="100" t="s">
        <v>35</v>
      </c>
      <c r="D8" s="101" t="s">
        <v>175</v>
      </c>
      <c r="E8" s="99">
        <v>2</v>
      </c>
      <c r="F8" s="99" t="str">
        <f t="shared" si="0"/>
        <v>budynek gospodarczy</v>
      </c>
      <c r="G8" s="99" t="s">
        <v>10</v>
      </c>
      <c r="H8" s="102">
        <f>(3+5)*10</f>
        <v>80</v>
      </c>
      <c r="I8" s="103">
        <f t="shared" si="2"/>
        <v>1.36</v>
      </c>
      <c r="J8" s="104" t="s">
        <v>26</v>
      </c>
      <c r="K8" s="217" t="s">
        <v>74</v>
      </c>
      <c r="L8" s="230"/>
      <c r="M8" s="222"/>
      <c r="N8" s="222"/>
      <c r="O8" s="222"/>
    </row>
    <row r="9" spans="1:15" s="76" customFormat="1" ht="15" customHeight="1">
      <c r="A9" s="99">
        <v>8</v>
      </c>
      <c r="B9" s="99" t="s">
        <v>35</v>
      </c>
      <c r="C9" s="100" t="s">
        <v>35</v>
      </c>
      <c r="D9" s="101" t="s">
        <v>176</v>
      </c>
      <c r="E9" s="99">
        <v>2</v>
      </c>
      <c r="F9" s="99" t="str">
        <f t="shared" si="0"/>
        <v>budynek gospodarczy</v>
      </c>
      <c r="G9" s="99" t="s">
        <v>10</v>
      </c>
      <c r="H9" s="102">
        <f>2*4*20</f>
        <v>160</v>
      </c>
      <c r="I9" s="103">
        <f t="shared" si="2"/>
        <v>2.72</v>
      </c>
      <c r="J9" s="104" t="s">
        <v>26</v>
      </c>
      <c r="K9" s="217" t="s">
        <v>74</v>
      </c>
      <c r="L9" s="230"/>
      <c r="M9" s="222"/>
      <c r="N9" s="222"/>
      <c r="O9" s="222"/>
    </row>
    <row r="10" spans="1:15" s="76" customFormat="1" ht="18" customHeight="1">
      <c r="A10" s="99">
        <f t="shared" si="1"/>
        <v>9</v>
      </c>
      <c r="B10" s="99" t="s">
        <v>35</v>
      </c>
      <c r="C10" s="100" t="s">
        <v>35</v>
      </c>
      <c r="D10" s="101" t="s">
        <v>176</v>
      </c>
      <c r="E10" s="99">
        <v>2</v>
      </c>
      <c r="F10" s="99" t="str">
        <f t="shared" si="0"/>
        <v>budynek gospodarczy</v>
      </c>
      <c r="G10" s="99" t="s">
        <v>10</v>
      </c>
      <c r="H10" s="102">
        <f>3*6</f>
        <v>18</v>
      </c>
      <c r="I10" s="103">
        <f t="shared" si="2"/>
        <v>0.30600000000000005</v>
      </c>
      <c r="J10" s="104" t="s">
        <v>23</v>
      </c>
      <c r="K10" s="217" t="s">
        <v>72</v>
      </c>
      <c r="L10" s="230"/>
      <c r="M10" s="222"/>
      <c r="N10" s="222"/>
      <c r="O10" s="222"/>
    </row>
    <row r="11" spans="1:15" s="63" customFormat="1" ht="15" customHeight="1">
      <c r="A11" s="99">
        <f t="shared" si="1"/>
        <v>10</v>
      </c>
      <c r="B11" s="99" t="s">
        <v>35</v>
      </c>
      <c r="C11" s="100" t="s">
        <v>35</v>
      </c>
      <c r="D11" s="101" t="s">
        <v>119</v>
      </c>
      <c r="E11" s="99">
        <v>2</v>
      </c>
      <c r="F11" s="99" t="str">
        <f t="shared" si="0"/>
        <v>budynek gospodarczy</v>
      </c>
      <c r="G11" s="99" t="s">
        <v>10</v>
      </c>
      <c r="H11" s="102">
        <f>3*2*6</f>
        <v>36</v>
      </c>
      <c r="I11" s="103">
        <f t="shared" si="2"/>
        <v>0.6120000000000001</v>
      </c>
      <c r="J11" s="104" t="s">
        <v>23</v>
      </c>
      <c r="K11" s="217" t="s">
        <v>72</v>
      </c>
      <c r="L11" s="230"/>
      <c r="M11" s="222"/>
      <c r="N11" s="222"/>
      <c r="O11" s="222"/>
    </row>
    <row r="12" spans="1:15" s="63" customFormat="1" ht="11.25">
      <c r="A12" s="99">
        <f t="shared" si="1"/>
        <v>11</v>
      </c>
      <c r="B12" s="99" t="s">
        <v>35</v>
      </c>
      <c r="C12" s="100" t="s">
        <v>35</v>
      </c>
      <c r="D12" s="101" t="s">
        <v>177</v>
      </c>
      <c r="E12" s="99">
        <v>2</v>
      </c>
      <c r="F12" s="99" t="str">
        <f t="shared" si="0"/>
        <v>budynek gospodarczy</v>
      </c>
      <c r="G12" s="99" t="s">
        <v>10</v>
      </c>
      <c r="H12" s="102">
        <f>4.5*2*20</f>
        <v>180</v>
      </c>
      <c r="I12" s="103">
        <f t="shared" si="2"/>
        <v>3.06</v>
      </c>
      <c r="J12" s="104" t="s">
        <v>26</v>
      </c>
      <c r="K12" s="217" t="s">
        <v>74</v>
      </c>
      <c r="L12" s="230"/>
      <c r="M12" s="222"/>
      <c r="N12" s="222"/>
      <c r="O12" s="222"/>
    </row>
    <row r="13" spans="1:15" s="63" customFormat="1" ht="11.25">
      <c r="A13" s="99">
        <f t="shared" si="1"/>
        <v>12</v>
      </c>
      <c r="B13" s="99" t="s">
        <v>35</v>
      </c>
      <c r="C13" s="100" t="s">
        <v>35</v>
      </c>
      <c r="D13" s="101" t="s">
        <v>177</v>
      </c>
      <c r="E13" s="99">
        <v>2</v>
      </c>
      <c r="F13" s="99" t="str">
        <f t="shared" si="0"/>
        <v>budynek gospodarczy</v>
      </c>
      <c r="G13" s="99" t="s">
        <v>10</v>
      </c>
      <c r="H13" s="102">
        <f>3*2*8</f>
        <v>48</v>
      </c>
      <c r="I13" s="103">
        <f t="shared" si="2"/>
        <v>0.8160000000000001</v>
      </c>
      <c r="J13" s="104" t="s">
        <v>23</v>
      </c>
      <c r="K13" s="217" t="s">
        <v>72</v>
      </c>
      <c r="L13" s="230"/>
      <c r="M13" s="222"/>
      <c r="N13" s="222"/>
      <c r="O13" s="222"/>
    </row>
    <row r="14" spans="1:15" s="63" customFormat="1" ht="11.25">
      <c r="A14" s="99">
        <f t="shared" si="1"/>
        <v>13</v>
      </c>
      <c r="B14" s="99" t="s">
        <v>35</v>
      </c>
      <c r="C14" s="100" t="s">
        <v>35</v>
      </c>
      <c r="D14" s="101" t="s">
        <v>177</v>
      </c>
      <c r="E14" s="99">
        <v>2</v>
      </c>
      <c r="F14" s="99" t="str">
        <f t="shared" si="0"/>
        <v>budynek gospodarczy</v>
      </c>
      <c r="G14" s="99" t="s">
        <v>10</v>
      </c>
      <c r="H14" s="102">
        <f>4*8</f>
        <v>32</v>
      </c>
      <c r="I14" s="103">
        <f t="shared" si="2"/>
        <v>0.544</v>
      </c>
      <c r="J14" s="104" t="s">
        <v>23</v>
      </c>
      <c r="K14" s="217" t="s">
        <v>72</v>
      </c>
      <c r="L14" s="230"/>
      <c r="M14" s="222"/>
      <c r="N14" s="222"/>
      <c r="O14" s="222"/>
    </row>
    <row r="15" spans="1:15" s="63" customFormat="1" ht="16.5" customHeight="1">
      <c r="A15" s="99">
        <f t="shared" si="1"/>
        <v>14</v>
      </c>
      <c r="B15" s="99" t="s">
        <v>35</v>
      </c>
      <c r="C15" s="100" t="s">
        <v>35</v>
      </c>
      <c r="D15" s="101" t="s">
        <v>178</v>
      </c>
      <c r="E15" s="99">
        <v>2</v>
      </c>
      <c r="F15" s="99" t="str">
        <f t="shared" si="0"/>
        <v>budynek gospodarczy</v>
      </c>
      <c r="G15" s="99" t="s">
        <v>10</v>
      </c>
      <c r="H15" s="102">
        <f>5*8</f>
        <v>40</v>
      </c>
      <c r="I15" s="103">
        <f t="shared" si="2"/>
        <v>0.68</v>
      </c>
      <c r="J15" s="104" t="s">
        <v>23</v>
      </c>
      <c r="K15" s="217" t="s">
        <v>72</v>
      </c>
      <c r="L15" s="230"/>
      <c r="M15" s="222"/>
      <c r="N15" s="222"/>
      <c r="O15" s="222"/>
    </row>
    <row r="16" spans="1:15" s="63" customFormat="1" ht="17.25" customHeight="1">
      <c r="A16" s="99">
        <f t="shared" si="1"/>
        <v>15</v>
      </c>
      <c r="B16" s="99" t="s">
        <v>35</v>
      </c>
      <c r="C16" s="100" t="s">
        <v>35</v>
      </c>
      <c r="D16" s="101" t="s">
        <v>179</v>
      </c>
      <c r="E16" s="99">
        <v>2</v>
      </c>
      <c r="F16" s="99" t="str">
        <f t="shared" si="0"/>
        <v>budynek gospodarczy</v>
      </c>
      <c r="G16" s="99" t="s">
        <v>10</v>
      </c>
      <c r="H16" s="102">
        <f>3*2*20</f>
        <v>120</v>
      </c>
      <c r="I16" s="103">
        <f t="shared" si="2"/>
        <v>2.04</v>
      </c>
      <c r="J16" s="104" t="s">
        <v>26</v>
      </c>
      <c r="K16" s="217" t="s">
        <v>74</v>
      </c>
      <c r="L16" s="230"/>
      <c r="M16" s="222"/>
      <c r="N16" s="222"/>
      <c r="O16" s="222"/>
    </row>
    <row r="17" spans="5:11" ht="11.25">
      <c r="E17" s="2">
        <v>0</v>
      </c>
      <c r="I17" s="60"/>
      <c r="J17" s="6"/>
      <c r="K17" s="6"/>
    </row>
    <row r="18" spans="7:11" ht="11.25">
      <c r="G18" s="2" t="s">
        <v>11</v>
      </c>
      <c r="H18" s="13">
        <f>SUM(H2:H16)</f>
        <v>1534</v>
      </c>
      <c r="I18" s="61">
        <f>SUM(I2:I16)</f>
        <v>26.078</v>
      </c>
      <c r="J18" s="7"/>
      <c r="K18" s="7"/>
    </row>
    <row r="20" spans="6:14" ht="11.25">
      <c r="F20" s="8" t="s">
        <v>12</v>
      </c>
      <c r="G20" s="8" t="s">
        <v>13</v>
      </c>
      <c r="H20" s="8" t="s">
        <v>14</v>
      </c>
      <c r="I20" s="8" t="s">
        <v>15</v>
      </c>
      <c r="J20" s="256" t="s">
        <v>234</v>
      </c>
      <c r="K20" s="180" t="s">
        <v>230</v>
      </c>
      <c r="L20" s="180" t="s">
        <v>227</v>
      </c>
      <c r="M20" s="180" t="s">
        <v>228</v>
      </c>
      <c r="N20" s="180" t="s">
        <v>229</v>
      </c>
    </row>
    <row r="21" spans="6:14" ht="11.25">
      <c r="F21" s="10" t="s">
        <v>16</v>
      </c>
      <c r="G21" s="10">
        <v>0</v>
      </c>
      <c r="H21" s="14"/>
      <c r="I21" s="59"/>
      <c r="J21" s="257"/>
      <c r="K21" s="5"/>
      <c r="L21" s="11"/>
      <c r="M21" s="17"/>
      <c r="N21" s="11"/>
    </row>
    <row r="22" spans="6:14" ht="11.25">
      <c r="F22" s="10" t="s">
        <v>17</v>
      </c>
      <c r="G22" s="10">
        <v>14</v>
      </c>
      <c r="H22" s="14">
        <f>SUMIF(E$2:I16,E2,H$2:H16)</f>
        <v>1334</v>
      </c>
      <c r="I22" s="59">
        <f>SUMIF(E$2:I16,E2,I$2:I16)</f>
        <v>22.678</v>
      </c>
      <c r="J22" s="258"/>
      <c r="K22" s="10"/>
      <c r="L22" s="10">
        <v>174</v>
      </c>
      <c r="M22" s="15"/>
      <c r="N22" s="10">
        <v>1160</v>
      </c>
    </row>
    <row r="23" spans="6:14" ht="11.25">
      <c r="F23" s="10" t="s">
        <v>18</v>
      </c>
      <c r="G23" s="10">
        <v>1</v>
      </c>
      <c r="H23" s="14">
        <v>200</v>
      </c>
      <c r="I23" s="59">
        <v>3.4</v>
      </c>
      <c r="J23" s="259">
        <v>1207.059</v>
      </c>
      <c r="K23" s="59">
        <v>200</v>
      </c>
      <c r="L23" s="59"/>
      <c r="M23" s="62"/>
      <c r="N23" s="59"/>
    </row>
    <row r="24" spans="6:14" ht="11.25">
      <c r="F24" s="10" t="s">
        <v>10</v>
      </c>
      <c r="G24" s="10">
        <v>15</v>
      </c>
      <c r="H24" s="14">
        <f>SUMIF(G$2:I16,G3,H$2:H16)</f>
        <v>1534</v>
      </c>
      <c r="I24" s="59">
        <f>SUMIF(G$2:I16,G$2,I$2:I16)</f>
        <v>26.078</v>
      </c>
      <c r="J24" s="259">
        <v>1207.059</v>
      </c>
      <c r="K24" s="59">
        <v>200</v>
      </c>
      <c r="L24" s="59">
        <v>174</v>
      </c>
      <c r="M24" s="62">
        <v>0</v>
      </c>
      <c r="N24" s="59">
        <v>1160</v>
      </c>
    </row>
    <row r="25" spans="6:14" ht="11.25">
      <c r="F25" s="10" t="s">
        <v>19</v>
      </c>
      <c r="G25" s="10">
        <v>0</v>
      </c>
      <c r="H25" s="14">
        <f>SUMIF(G$2:I17,#REF!,H$2:H17)</f>
        <v>0</v>
      </c>
      <c r="I25" s="59">
        <f>SUMIF(G$2:I17,#REF!,I$2:I17)</f>
        <v>0</v>
      </c>
      <c r="J25" s="257"/>
      <c r="K25" s="11"/>
      <c r="L25" s="11"/>
      <c r="M25" s="16"/>
      <c r="N25" s="11"/>
    </row>
    <row r="26" spans="6:14" ht="11.25">
      <c r="F26" s="10" t="s">
        <v>20</v>
      </c>
      <c r="G26" s="10">
        <v>0</v>
      </c>
      <c r="H26" s="14">
        <f>SUMIF(G$2:I18,#REF!,H$2:H18)</f>
        <v>0</v>
      </c>
      <c r="I26" s="59">
        <f>SUMIF(G$2:I18,#REF!,I$2:I18)</f>
        <v>0</v>
      </c>
      <c r="J26" s="257"/>
      <c r="K26" s="11"/>
      <c r="L26" s="11"/>
      <c r="M26" s="16"/>
      <c r="N26" s="11"/>
    </row>
    <row r="27" spans="6:14" ht="11.25">
      <c r="F27" s="10" t="s">
        <v>21</v>
      </c>
      <c r="G27" s="10">
        <v>0</v>
      </c>
      <c r="H27" s="12"/>
      <c r="I27" s="59"/>
      <c r="J27" s="257"/>
      <c r="K27" s="11"/>
      <c r="L27" s="11"/>
      <c r="M27" s="16"/>
      <c r="N27" s="11"/>
    </row>
  </sheetData>
  <sheetProtection/>
  <printOptions/>
  <pageMargins left="0.31" right="0.27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C16" sqref="C16"/>
    </sheetView>
  </sheetViews>
  <sheetFormatPr defaultColWidth="9.140625" defaultRowHeight="12.75" outlineLevelCol="1"/>
  <cols>
    <col min="1" max="1" width="4.7109375" style="2" customWidth="1"/>
    <col min="2" max="2" width="13.00390625" style="2" customWidth="1"/>
    <col min="3" max="3" width="14.140625" style="3" customWidth="1" outlineLevel="1"/>
    <col min="4" max="4" width="13.57421875" style="4" customWidth="1" outlineLevel="1"/>
    <col min="5" max="5" width="4.8515625" style="2" customWidth="1"/>
    <col min="6" max="6" width="19.421875" style="2" customWidth="1" outlineLevel="1"/>
    <col min="7" max="7" width="11.7109375" style="2" customWidth="1" outlineLevel="1"/>
    <col min="8" max="8" width="10.00390625" style="2" customWidth="1"/>
    <col min="9" max="11" width="9.140625" style="2" customWidth="1" outlineLevel="1"/>
    <col min="12" max="12" width="9.8515625" style="15" customWidth="1"/>
    <col min="13" max="13" width="9.8515625" style="2" customWidth="1"/>
    <col min="14" max="14" width="10.28125" style="2" customWidth="1"/>
    <col min="15" max="15" width="10.140625" style="2" customWidth="1"/>
    <col min="16" max="16384" width="9.140625" style="2" customWidth="1"/>
  </cols>
  <sheetData>
    <row r="1" spans="1:15" s="1" customFormat="1" ht="45">
      <c r="A1" s="78" t="s">
        <v>0</v>
      </c>
      <c r="B1" s="78" t="s">
        <v>1</v>
      </c>
      <c r="C1" s="78" t="s">
        <v>2</v>
      </c>
      <c r="D1" s="79" t="s">
        <v>3</v>
      </c>
      <c r="E1" s="78"/>
      <c r="F1" s="78" t="s">
        <v>4</v>
      </c>
      <c r="G1" s="78" t="s">
        <v>5</v>
      </c>
      <c r="H1" s="78" t="s">
        <v>6</v>
      </c>
      <c r="I1" s="78" t="s">
        <v>7</v>
      </c>
      <c r="J1" s="78" t="s">
        <v>8</v>
      </c>
      <c r="K1" s="206" t="s">
        <v>9</v>
      </c>
      <c r="L1" s="214"/>
      <c r="M1" s="201"/>
      <c r="N1" s="201"/>
      <c r="O1" s="201"/>
    </row>
    <row r="2" spans="1:15" s="63" customFormat="1" ht="11.25">
      <c r="A2" s="81">
        <v>1</v>
      </c>
      <c r="B2" s="81" t="s">
        <v>180</v>
      </c>
      <c r="C2" s="82" t="s">
        <v>35</v>
      </c>
      <c r="D2" s="83" t="s">
        <v>181</v>
      </c>
      <c r="E2" s="81">
        <v>2</v>
      </c>
      <c r="F2" s="81" t="str">
        <f>IF(E2=2,"budynek gospodarczy","budynek mieszkalny")</f>
        <v>budynek gospodarczy</v>
      </c>
      <c r="G2" s="81" t="s">
        <v>10</v>
      </c>
      <c r="H2" s="84">
        <f>6*2*15.5</f>
        <v>186</v>
      </c>
      <c r="I2" s="85">
        <f>0.017*H2</f>
        <v>3.1620000000000004</v>
      </c>
      <c r="J2" s="86" t="s">
        <v>24</v>
      </c>
      <c r="K2" s="207" t="s">
        <v>73</v>
      </c>
      <c r="L2" s="236"/>
      <c r="M2" s="204"/>
      <c r="N2" s="204"/>
      <c r="O2" s="204"/>
    </row>
    <row r="3" spans="10:11" ht="11.25">
      <c r="J3" s="6"/>
      <c r="K3" s="6"/>
    </row>
    <row r="4" spans="7:11" ht="11.25">
      <c r="G4" s="2" t="s">
        <v>11</v>
      </c>
      <c r="H4" s="13">
        <f>SUM(H2:H2)</f>
        <v>186</v>
      </c>
      <c r="I4" s="61">
        <f>SUM(I2:I2)</f>
        <v>3.1620000000000004</v>
      </c>
      <c r="J4" s="7"/>
      <c r="K4" s="7"/>
    </row>
    <row r="6" spans="6:14" ht="11.25">
      <c r="F6" s="8" t="s">
        <v>12</v>
      </c>
      <c r="G6" s="8" t="s">
        <v>13</v>
      </c>
      <c r="H6" s="8" t="s">
        <v>14</v>
      </c>
      <c r="I6" s="8" t="s">
        <v>15</v>
      </c>
      <c r="J6" s="256" t="s">
        <v>232</v>
      </c>
      <c r="K6" s="180" t="s">
        <v>230</v>
      </c>
      <c r="L6" s="180" t="s">
        <v>227</v>
      </c>
      <c r="M6" s="180" t="s">
        <v>228</v>
      </c>
      <c r="N6" s="180" t="s">
        <v>229</v>
      </c>
    </row>
    <row r="7" spans="6:14" ht="11.25">
      <c r="F7" s="10" t="s">
        <v>16</v>
      </c>
      <c r="G7" s="10">
        <v>0</v>
      </c>
      <c r="H7" s="14">
        <f>SUMIF(E$2:I2,E3,H$2:H2)</f>
        <v>0</v>
      </c>
      <c r="I7" s="59">
        <f>SUMIF(E$2:I2,E3,I$2:I2)</f>
        <v>0</v>
      </c>
      <c r="J7" s="257"/>
      <c r="K7" s="5"/>
      <c r="L7" s="5"/>
      <c r="M7" s="17"/>
      <c r="N7" s="11"/>
    </row>
    <row r="8" spans="6:14" ht="11.25">
      <c r="F8" s="10" t="s">
        <v>17</v>
      </c>
      <c r="G8" s="10">
        <v>1</v>
      </c>
      <c r="H8" s="14">
        <f>SUMIF(E$2:I2,E2,H$2:H2)</f>
        <v>186</v>
      </c>
      <c r="I8" s="59">
        <f>SUMIF(E$2:I2,E2,I$2:I2)</f>
        <v>3.1620000000000004</v>
      </c>
      <c r="J8" s="258"/>
      <c r="K8" s="10"/>
      <c r="L8" s="10"/>
      <c r="M8" s="15">
        <v>186</v>
      </c>
      <c r="N8" s="10"/>
    </row>
    <row r="9" spans="6:14" ht="11.25">
      <c r="F9" s="10" t="s">
        <v>18</v>
      </c>
      <c r="G9" s="10">
        <v>0</v>
      </c>
      <c r="H9" s="14"/>
      <c r="I9" s="59"/>
      <c r="J9" s="260"/>
      <c r="K9" s="11"/>
      <c r="L9" s="11"/>
      <c r="M9" s="16"/>
      <c r="N9" s="11"/>
    </row>
    <row r="10" spans="6:14" ht="11.25">
      <c r="F10" s="10" t="s">
        <v>10</v>
      </c>
      <c r="G10" s="10">
        <v>1</v>
      </c>
      <c r="H10" s="14">
        <f>H4</f>
        <v>186</v>
      </c>
      <c r="I10" s="59">
        <f>SUMIF(G$2:I2,G$2,I$2:I2)</f>
        <v>3.1620000000000004</v>
      </c>
      <c r="J10" s="257">
        <v>0</v>
      </c>
      <c r="K10" s="12"/>
      <c r="L10" s="12">
        <v>0</v>
      </c>
      <c r="M10" s="62">
        <v>186</v>
      </c>
      <c r="N10" s="12">
        <v>0</v>
      </c>
    </row>
    <row r="11" spans="6:14" ht="11.25">
      <c r="F11" s="10" t="s">
        <v>19</v>
      </c>
      <c r="G11" s="10">
        <v>0</v>
      </c>
      <c r="H11" s="14">
        <f>SUMIF(G$2:I3,#REF!,H$2:H3)</f>
        <v>0</v>
      </c>
      <c r="I11" s="59">
        <f>SUMIF(G$2:I3,#REF!,I$2:I3)</f>
        <v>0</v>
      </c>
      <c r="J11" s="257"/>
      <c r="K11" s="11"/>
      <c r="L11" s="11"/>
      <c r="M11" s="16"/>
      <c r="N11" s="11"/>
    </row>
    <row r="12" spans="6:14" ht="11.25">
      <c r="F12" s="10" t="s">
        <v>20</v>
      </c>
      <c r="G12" s="10">
        <v>0</v>
      </c>
      <c r="H12" s="14">
        <f>SUMIF(G$2:I4,#REF!,H$2:H4)</f>
        <v>0</v>
      </c>
      <c r="I12" s="59">
        <f>SUMIF(G$2:I4,#REF!,I$2:I4)</f>
        <v>0</v>
      </c>
      <c r="J12" s="257"/>
      <c r="K12" s="11"/>
      <c r="L12" s="11"/>
      <c r="M12" s="16"/>
      <c r="N12" s="11"/>
    </row>
    <row r="13" spans="6:14" ht="11.25">
      <c r="F13" s="10" t="s">
        <v>21</v>
      </c>
      <c r="G13" s="10">
        <v>0</v>
      </c>
      <c r="H13" s="12"/>
      <c r="I13" s="12"/>
      <c r="J13" s="257"/>
      <c r="K13" s="11"/>
      <c r="L13" s="11"/>
      <c r="M13" s="16"/>
      <c r="N13" s="11"/>
    </row>
  </sheetData>
  <sheetProtection/>
  <autoFilter ref="A1:O2"/>
  <printOptions/>
  <pageMargins left="0.31" right="0.27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kpikulik</cp:lastModifiedBy>
  <cp:lastPrinted>2014-05-21T07:57:36Z</cp:lastPrinted>
  <dcterms:created xsi:type="dcterms:W3CDTF">2011-05-06T06:55:31Z</dcterms:created>
  <dcterms:modified xsi:type="dcterms:W3CDTF">2014-05-21T09:40:11Z</dcterms:modified>
  <cp:category/>
  <cp:version/>
  <cp:contentType/>
  <cp:contentStatus/>
</cp:coreProperties>
</file>