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5" windowHeight="5580" activeTab="1"/>
  </bookViews>
  <sheets>
    <sheet name="Zał.1_WPF_bazowy" sheetId="7" r:id="rId1"/>
    <sheet name="Zał. 3-Przedsięwzięcia" sheetId="6" r:id="rId2"/>
    <sheet name="Arkusz1" sheetId="1" r:id="rId3"/>
    <sheet name="Arkusz2" sheetId="2" r:id="rId4"/>
    <sheet name="Arkusz3" sheetId="3" r:id="rId5"/>
  </sheets>
  <externalReferences>
    <externalReference r:id="rId6"/>
  </externalReferences>
  <definedNames>
    <definedName name="_xlnm._FilterDatabase" localSheetId="0" hidden="1">Zał.1_WPF_bazowy!$A$7:$A$108</definedName>
    <definedName name="_xlnm.Print_Area" localSheetId="1">'Zał. 3-Przedsięwzięcia'!$A$1:$S$88</definedName>
    <definedName name="_xlnm.Print_Area" localSheetId="0">Zał.1_WPF_bazowy!$B$2:$R$112</definedName>
    <definedName name="_xlnm.Print_Titles" localSheetId="1">'Zał. 3-Przedsięwzięcia'!$5:$6</definedName>
    <definedName name="Z_9360F695_77C0_4418_82C5_829A762C44E9_.wvu.Cols" localSheetId="0" hidden="1">Zał.1_WPF_bazowy!$A$1:$A$65534,Zał.1_WPF_bazowy!$C$1:$C$65534</definedName>
    <definedName name="Z_9360F695_77C0_4418_82C5_829A762C44E9_.wvu.FilterData" localSheetId="0" hidden="1">Zał.1_WPF_bazowy!$A$7:$A$108</definedName>
    <definedName name="Z_9360F695_77C0_4418_82C5_829A762C44E9_.wvu.PrintArea" localSheetId="0" hidden="1">Zał.1_WPF_bazowy!$B$6:$AL$108</definedName>
    <definedName name="Z_9360F695_77C0_4418_82C5_829A762C44E9_.wvu.PrintTitles" localSheetId="0" hidden="1">Zał.1_WPF_bazowy!$B$1:$D$65534,Zał.1_WPF_bazowy!$A$6:$IV$7</definedName>
  </definedNames>
  <calcPr calcId="124519"/>
</workbook>
</file>

<file path=xl/calcChain.xml><?xml version="1.0" encoding="utf-8"?>
<calcChain xmlns="http://schemas.openxmlformats.org/spreadsheetml/2006/main">
  <c r="E201" i="7"/>
  <c r="E200"/>
  <c r="E199"/>
  <c r="E193"/>
  <c r="E192"/>
  <c r="E191"/>
  <c r="AL112"/>
  <c r="AK112"/>
  <c r="AJ112"/>
  <c r="AI112"/>
  <c r="AH112"/>
  <c r="AG112"/>
  <c r="AF112"/>
  <c r="AE112"/>
  <c r="AD112"/>
  <c r="AC112"/>
  <c r="AB112"/>
  <c r="AA112"/>
  <c r="Z112"/>
  <c r="Y112"/>
  <c r="X112"/>
  <c r="W112"/>
  <c r="V112"/>
  <c r="U112"/>
  <c r="T112"/>
  <c r="S112"/>
  <c r="R112"/>
  <c r="Q112"/>
  <c r="P112"/>
  <c r="O112"/>
  <c r="N112"/>
  <c r="M112"/>
  <c r="L112"/>
  <c r="K112"/>
  <c r="J112"/>
  <c r="I112"/>
  <c r="H112"/>
  <c r="G112"/>
  <c r="F112"/>
  <c r="E112"/>
  <c r="AL111"/>
  <c r="AK111"/>
  <c r="AJ111"/>
  <c r="AI111"/>
  <c r="AH111"/>
  <c r="AG111"/>
  <c r="AF111"/>
  <c r="AE111"/>
  <c r="AD111"/>
  <c r="AC111"/>
  <c r="AB111"/>
  <c r="AA111"/>
  <c r="Z111"/>
  <c r="Y111"/>
  <c r="X111"/>
  <c r="W111"/>
  <c r="V111"/>
  <c r="U111"/>
  <c r="T111"/>
  <c r="S111"/>
  <c r="R111"/>
  <c r="Q111"/>
  <c r="P111"/>
  <c r="O111"/>
  <c r="N111"/>
  <c r="M111"/>
  <c r="L111"/>
  <c r="K111"/>
  <c r="J111"/>
  <c r="I111"/>
  <c r="H111"/>
  <c r="G111"/>
  <c r="F111"/>
  <c r="E111"/>
  <c r="AL110"/>
  <c r="AL156" s="1"/>
  <c r="AK110"/>
  <c r="AK156" s="1"/>
  <c r="AJ110"/>
  <c r="AJ156" s="1"/>
  <c r="AI110"/>
  <c r="AI156" s="1"/>
  <c r="AH110"/>
  <c r="AH156" s="1"/>
  <c r="AG110"/>
  <c r="AG156" s="1"/>
  <c r="AF110"/>
  <c r="AF156" s="1"/>
  <c r="AE110"/>
  <c r="AE156" s="1"/>
  <c r="AD110"/>
  <c r="AD156" s="1"/>
  <c r="AC110"/>
  <c r="AC156" s="1"/>
  <c r="AB110"/>
  <c r="AB156" s="1"/>
  <c r="AA110"/>
  <c r="AA156" s="1"/>
  <c r="Z110"/>
  <c r="Z156" s="1"/>
  <c r="Y110"/>
  <c r="Y156" s="1"/>
  <c r="X110"/>
  <c r="X156" s="1"/>
  <c r="W110"/>
  <c r="W156" s="1"/>
  <c r="V110"/>
  <c r="V156" s="1"/>
  <c r="U110"/>
  <c r="U156" s="1"/>
  <c r="T110"/>
  <c r="T156" s="1"/>
  <c r="S110"/>
  <c r="S156" s="1"/>
  <c r="R110"/>
  <c r="R156" s="1"/>
  <c r="Q110"/>
  <c r="Q156" s="1"/>
  <c r="P110"/>
  <c r="P156" s="1"/>
  <c r="O110"/>
  <c r="O156" s="1"/>
  <c r="N110"/>
  <c r="N156" s="1"/>
  <c r="M110"/>
  <c r="M156" s="1"/>
  <c r="L110"/>
  <c r="L156" s="1"/>
  <c r="K110"/>
  <c r="K156" s="1"/>
  <c r="J110"/>
  <c r="J156" s="1"/>
  <c r="I110"/>
  <c r="I156" s="1"/>
  <c r="H110"/>
  <c r="G110"/>
  <c r="F110"/>
  <c r="E110"/>
  <c r="AL108"/>
  <c r="AK108"/>
  <c r="AJ108"/>
  <c r="AI108"/>
  <c r="AH108"/>
  <c r="AG108"/>
  <c r="AF108"/>
  <c r="AE108"/>
  <c r="AD108"/>
  <c r="AC108"/>
  <c r="AB108"/>
  <c r="AA108"/>
  <c r="Z108"/>
  <c r="Y108"/>
  <c r="X108"/>
  <c r="W108"/>
  <c r="V108"/>
  <c r="U108"/>
  <c r="T108"/>
  <c r="S108"/>
  <c r="R108"/>
  <c r="Q108"/>
  <c r="P108"/>
  <c r="O108"/>
  <c r="N108"/>
  <c r="M108"/>
  <c r="L108"/>
  <c r="K108"/>
  <c r="J108"/>
  <c r="I108"/>
  <c r="H108"/>
  <c r="G108"/>
  <c r="F108"/>
  <c r="E108"/>
  <c r="AL107"/>
  <c r="AK107"/>
  <c r="AJ107"/>
  <c r="AI107"/>
  <c r="AH107"/>
  <c r="AG107"/>
  <c r="AF107"/>
  <c r="AE107"/>
  <c r="AD107"/>
  <c r="AC107"/>
  <c r="AB107"/>
  <c r="AA107"/>
  <c r="Z107"/>
  <c r="Y107"/>
  <c r="X107"/>
  <c r="W107"/>
  <c r="V107"/>
  <c r="U107"/>
  <c r="T107"/>
  <c r="S107"/>
  <c r="R107"/>
  <c r="Q107"/>
  <c r="P107"/>
  <c r="O107"/>
  <c r="N107"/>
  <c r="M107"/>
  <c r="L107"/>
  <c r="K107"/>
  <c r="J107"/>
  <c r="I107"/>
  <c r="H107"/>
  <c r="G107"/>
  <c r="F107"/>
  <c r="E107"/>
  <c r="AL106"/>
  <c r="AK106"/>
  <c r="AJ106"/>
  <c r="AI106"/>
  <c r="AH106"/>
  <c r="AG106"/>
  <c r="AF106"/>
  <c r="AE106"/>
  <c r="AD106"/>
  <c r="AC106"/>
  <c r="AB106"/>
  <c r="AA106"/>
  <c r="Z106"/>
  <c r="Y106"/>
  <c r="X106"/>
  <c r="W106"/>
  <c r="V106"/>
  <c r="U106"/>
  <c r="T106"/>
  <c r="S106"/>
  <c r="R106"/>
  <c r="Q106"/>
  <c r="P106"/>
  <c r="O106"/>
  <c r="N106"/>
  <c r="M106"/>
  <c r="L106"/>
  <c r="K106"/>
  <c r="J106"/>
  <c r="I106"/>
  <c r="H106"/>
  <c r="G106"/>
  <c r="F106"/>
  <c r="E106"/>
  <c r="AL105"/>
  <c r="AK105"/>
  <c r="AJ105"/>
  <c r="AI105"/>
  <c r="AH105"/>
  <c r="AG105"/>
  <c r="AF105"/>
  <c r="AE105"/>
  <c r="AD105"/>
  <c r="AC105"/>
  <c r="AB105"/>
  <c r="AA105"/>
  <c r="Z105"/>
  <c r="Y105"/>
  <c r="X105"/>
  <c r="W105"/>
  <c r="V105"/>
  <c r="U105"/>
  <c r="T105"/>
  <c r="S105"/>
  <c r="R105"/>
  <c r="Q105"/>
  <c r="P105"/>
  <c r="O105"/>
  <c r="N105"/>
  <c r="M105"/>
  <c r="L105"/>
  <c r="K105"/>
  <c r="J105"/>
  <c r="I105"/>
  <c r="H105"/>
  <c r="G105"/>
  <c r="F105"/>
  <c r="E105"/>
  <c r="AL104"/>
  <c r="AL155" s="1"/>
  <c r="AK104"/>
  <c r="AK155" s="1"/>
  <c r="AJ104"/>
  <c r="AJ155" s="1"/>
  <c r="AI104"/>
  <c r="AI155" s="1"/>
  <c r="AH104"/>
  <c r="AH155" s="1"/>
  <c r="AG104"/>
  <c r="AG155" s="1"/>
  <c r="AF104"/>
  <c r="AF155" s="1"/>
  <c r="AE104"/>
  <c r="AE155" s="1"/>
  <c r="AD104"/>
  <c r="AD155" s="1"/>
  <c r="AC104"/>
  <c r="AC155" s="1"/>
  <c r="AB104"/>
  <c r="AB155" s="1"/>
  <c r="AA104"/>
  <c r="AA155" s="1"/>
  <c r="Z104"/>
  <c r="Z155" s="1"/>
  <c r="Y104"/>
  <c r="Y155" s="1"/>
  <c r="X104"/>
  <c r="X155" s="1"/>
  <c r="W104"/>
  <c r="W155" s="1"/>
  <c r="V104"/>
  <c r="V155" s="1"/>
  <c r="U104"/>
  <c r="U155" s="1"/>
  <c r="T104"/>
  <c r="T155" s="1"/>
  <c r="S104"/>
  <c r="S155" s="1"/>
  <c r="R104"/>
  <c r="R155" s="1"/>
  <c r="Q104"/>
  <c r="Q155" s="1"/>
  <c r="P104"/>
  <c r="P155" s="1"/>
  <c r="O104"/>
  <c r="O155" s="1"/>
  <c r="N104"/>
  <c r="N155" s="1"/>
  <c r="M104"/>
  <c r="M155" s="1"/>
  <c r="L104"/>
  <c r="L155" s="1"/>
  <c r="K104"/>
  <c r="K155" s="1"/>
  <c r="J104"/>
  <c r="J155" s="1"/>
  <c r="I104"/>
  <c r="I155" s="1"/>
  <c r="H104"/>
  <c r="G104"/>
  <c r="F104"/>
  <c r="E104"/>
  <c r="AL103"/>
  <c r="AK103"/>
  <c r="AL127" s="1"/>
  <c r="AJ103"/>
  <c r="AK127" s="1"/>
  <c r="AI103"/>
  <c r="AJ127" s="1"/>
  <c r="AH103"/>
  <c r="AI127" s="1"/>
  <c r="AG103"/>
  <c r="AH127" s="1"/>
  <c r="AF103"/>
  <c r="AG127" s="1"/>
  <c r="AE103"/>
  <c r="AF127" s="1"/>
  <c r="AD103"/>
  <c r="AE127" s="1"/>
  <c r="AC103"/>
  <c r="AD127" s="1"/>
  <c r="AB103"/>
  <c r="AC127" s="1"/>
  <c r="AA103"/>
  <c r="AB127" s="1"/>
  <c r="Z103"/>
  <c r="AA127" s="1"/>
  <c r="Y103"/>
  <c r="Z127" s="1"/>
  <c r="X103"/>
  <c r="Y127" s="1"/>
  <c r="W103"/>
  <c r="X127" s="1"/>
  <c r="V103"/>
  <c r="W127" s="1"/>
  <c r="U103"/>
  <c r="V127" s="1"/>
  <c r="T103"/>
  <c r="U127" s="1"/>
  <c r="S103"/>
  <c r="T127" s="1"/>
  <c r="R103"/>
  <c r="S127" s="1"/>
  <c r="Q103"/>
  <c r="R127" s="1"/>
  <c r="P103"/>
  <c r="Q127" s="1"/>
  <c r="O103"/>
  <c r="P127" s="1"/>
  <c r="N103"/>
  <c r="O127" s="1"/>
  <c r="M103"/>
  <c r="N127" s="1"/>
  <c r="L103"/>
  <c r="M127" s="1"/>
  <c r="K103"/>
  <c r="J103"/>
  <c r="K127" s="1"/>
  <c r="I103"/>
  <c r="H103"/>
  <c r="I127" s="1"/>
  <c r="G103"/>
  <c r="F103"/>
  <c r="E103"/>
  <c r="AL102"/>
  <c r="AK102"/>
  <c r="AJ102"/>
  <c r="AI102"/>
  <c r="AH102"/>
  <c r="AG102"/>
  <c r="AF102"/>
  <c r="AE102"/>
  <c r="AD102"/>
  <c r="AC102"/>
  <c r="AB102"/>
  <c r="AA102"/>
  <c r="Z102"/>
  <c r="Y102"/>
  <c r="X102"/>
  <c r="W102"/>
  <c r="V102"/>
  <c r="U102"/>
  <c r="T102"/>
  <c r="S102"/>
  <c r="R102"/>
  <c r="Q102"/>
  <c r="P102"/>
  <c r="O102"/>
  <c r="N102"/>
  <c r="M102"/>
  <c r="L102"/>
  <c r="K102"/>
  <c r="J102"/>
  <c r="I102"/>
  <c r="H102"/>
  <c r="G102"/>
  <c r="F102"/>
  <c r="E102"/>
  <c r="AL100"/>
  <c r="AK100"/>
  <c r="AJ100"/>
  <c r="AI100"/>
  <c r="AH100"/>
  <c r="AG100"/>
  <c r="AF100"/>
  <c r="AE100"/>
  <c r="AD100"/>
  <c r="AC100"/>
  <c r="AB100"/>
  <c r="AA100"/>
  <c r="Z100"/>
  <c r="Y100"/>
  <c r="X100"/>
  <c r="W100"/>
  <c r="V100"/>
  <c r="U100"/>
  <c r="T100"/>
  <c r="S100"/>
  <c r="R100"/>
  <c r="Q100"/>
  <c r="P100"/>
  <c r="O100"/>
  <c r="N100"/>
  <c r="M100"/>
  <c r="L100"/>
  <c r="K100"/>
  <c r="J100"/>
  <c r="I100"/>
  <c r="H100"/>
  <c r="G100"/>
  <c r="F100"/>
  <c r="E100"/>
  <c r="AL99"/>
  <c r="AK99"/>
  <c r="AJ99"/>
  <c r="AI99"/>
  <c r="AH99"/>
  <c r="AG99"/>
  <c r="AF99"/>
  <c r="AE99"/>
  <c r="AD99"/>
  <c r="AC99"/>
  <c r="AB99"/>
  <c r="AA99"/>
  <c r="Z99"/>
  <c r="Y99"/>
  <c r="X99"/>
  <c r="W99"/>
  <c r="V99"/>
  <c r="U99"/>
  <c r="T99"/>
  <c r="S99"/>
  <c r="R99"/>
  <c r="Q99"/>
  <c r="P99"/>
  <c r="O99"/>
  <c r="N99"/>
  <c r="M99"/>
  <c r="L99"/>
  <c r="K99"/>
  <c r="J99"/>
  <c r="I99"/>
  <c r="H99"/>
  <c r="G99"/>
  <c r="F99"/>
  <c r="E99"/>
  <c r="AL98"/>
  <c r="AK98"/>
  <c r="AJ98"/>
  <c r="AI98"/>
  <c r="AH98"/>
  <c r="AG98"/>
  <c r="AF98"/>
  <c r="AE98"/>
  <c r="AD98"/>
  <c r="AC98"/>
  <c r="AB98"/>
  <c r="AA98"/>
  <c r="Z98"/>
  <c r="Y98"/>
  <c r="X98"/>
  <c r="W98"/>
  <c r="V98"/>
  <c r="U98"/>
  <c r="T98"/>
  <c r="S98"/>
  <c r="R98"/>
  <c r="Q98"/>
  <c r="P98"/>
  <c r="O98"/>
  <c r="N98"/>
  <c r="M98"/>
  <c r="L98"/>
  <c r="K98"/>
  <c r="J98"/>
  <c r="I98"/>
  <c r="H98"/>
  <c r="G98"/>
  <c r="F98"/>
  <c r="E98"/>
  <c r="AL97"/>
  <c r="AK97"/>
  <c r="AJ97"/>
  <c r="AI97"/>
  <c r="AH97"/>
  <c r="AG97"/>
  <c r="AF97"/>
  <c r="AE97"/>
  <c r="AD97"/>
  <c r="AC97"/>
  <c r="AB97"/>
  <c r="AA97"/>
  <c r="Z97"/>
  <c r="Y97"/>
  <c r="X97"/>
  <c r="W97"/>
  <c r="V97"/>
  <c r="U97"/>
  <c r="T97"/>
  <c r="S97"/>
  <c r="R97"/>
  <c r="Q97"/>
  <c r="P97"/>
  <c r="O97"/>
  <c r="N97"/>
  <c r="M97"/>
  <c r="L97"/>
  <c r="K97"/>
  <c r="J97"/>
  <c r="I97"/>
  <c r="H97"/>
  <c r="G97"/>
  <c r="F97"/>
  <c r="E97"/>
  <c r="AL96"/>
  <c r="AL124" s="1"/>
  <c r="AK96"/>
  <c r="AK124" s="1"/>
  <c r="AJ96"/>
  <c r="AJ124" s="1"/>
  <c r="AI96"/>
  <c r="AI124" s="1"/>
  <c r="AH96"/>
  <c r="AH124" s="1"/>
  <c r="AG96"/>
  <c r="AG124" s="1"/>
  <c r="AF96"/>
  <c r="AF124" s="1"/>
  <c r="AE96"/>
  <c r="AE124" s="1"/>
  <c r="AD96"/>
  <c r="AD124" s="1"/>
  <c r="AC96"/>
  <c r="AC124" s="1"/>
  <c r="AB96"/>
  <c r="AB124" s="1"/>
  <c r="AA96"/>
  <c r="AA124" s="1"/>
  <c r="Z96"/>
  <c r="Z124" s="1"/>
  <c r="Y96"/>
  <c r="Y124" s="1"/>
  <c r="X96"/>
  <c r="X124" s="1"/>
  <c r="W96"/>
  <c r="W124" s="1"/>
  <c r="V96"/>
  <c r="V124" s="1"/>
  <c r="U96"/>
  <c r="U124" s="1"/>
  <c r="T96"/>
  <c r="T124" s="1"/>
  <c r="S96"/>
  <c r="S124" s="1"/>
  <c r="R96"/>
  <c r="R124" s="1"/>
  <c r="Q96"/>
  <c r="Q124" s="1"/>
  <c r="P96"/>
  <c r="P124" s="1"/>
  <c r="O96"/>
  <c r="O124" s="1"/>
  <c r="N96"/>
  <c r="N124" s="1"/>
  <c r="M96"/>
  <c r="M124" s="1"/>
  <c r="L96"/>
  <c r="L124" s="1"/>
  <c r="K96"/>
  <c r="K124" s="1"/>
  <c r="J96"/>
  <c r="I96"/>
  <c r="H96"/>
  <c r="G96"/>
  <c r="F96"/>
  <c r="E96"/>
  <c r="AL95"/>
  <c r="AK95"/>
  <c r="AJ95"/>
  <c r="AI95"/>
  <c r="AH95"/>
  <c r="AG95"/>
  <c r="AF95"/>
  <c r="AE95"/>
  <c r="AD95"/>
  <c r="AC95"/>
  <c r="AB95"/>
  <c r="AA95"/>
  <c r="Z95"/>
  <c r="Y95"/>
  <c r="X95"/>
  <c r="W95"/>
  <c r="V95"/>
  <c r="U95"/>
  <c r="T95"/>
  <c r="S95"/>
  <c r="R95"/>
  <c r="Q95"/>
  <c r="P95"/>
  <c r="O95"/>
  <c r="N95"/>
  <c r="M95"/>
  <c r="L95"/>
  <c r="K95"/>
  <c r="J95"/>
  <c r="I95"/>
  <c r="H95"/>
  <c r="G95"/>
  <c r="F95"/>
  <c r="E95"/>
  <c r="AL94"/>
  <c r="AL153" s="1"/>
  <c r="AK94"/>
  <c r="AJ94"/>
  <c r="AI94"/>
  <c r="AH94"/>
  <c r="AG94"/>
  <c r="AF94"/>
  <c r="AE94"/>
  <c r="AF128" s="1"/>
  <c r="AD94"/>
  <c r="AC94"/>
  <c r="AD128" s="1"/>
  <c r="AB94"/>
  <c r="AA94"/>
  <c r="AB128" s="1"/>
  <c r="Z94"/>
  <c r="Y94"/>
  <c r="Z128" s="1"/>
  <c r="X94"/>
  <c r="W94"/>
  <c r="X128" s="1"/>
  <c r="V94"/>
  <c r="U94"/>
  <c r="V128" s="1"/>
  <c r="T94"/>
  <c r="S94"/>
  <c r="T128" s="1"/>
  <c r="R94"/>
  <c r="Q94"/>
  <c r="R128" s="1"/>
  <c r="P94"/>
  <c r="O94"/>
  <c r="P128" s="1"/>
  <c r="N94"/>
  <c r="M94"/>
  <c r="N128" s="1"/>
  <c r="L94"/>
  <c r="K94"/>
  <c r="L128" s="1"/>
  <c r="J94"/>
  <c r="I94"/>
  <c r="J128" s="1"/>
  <c r="H94"/>
  <c r="I187" s="1"/>
  <c r="G94"/>
  <c r="F94"/>
  <c r="H187" s="1"/>
  <c r="E94"/>
  <c r="AL92"/>
  <c r="AK92"/>
  <c r="AJ92"/>
  <c r="AI92"/>
  <c r="AH92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AL91"/>
  <c r="AL152" s="1"/>
  <c r="AK91"/>
  <c r="AK152" s="1"/>
  <c r="AJ91"/>
  <c r="AJ152" s="1"/>
  <c r="AI91"/>
  <c r="AI152" s="1"/>
  <c r="AH91"/>
  <c r="AH152" s="1"/>
  <c r="AG91"/>
  <c r="AG152" s="1"/>
  <c r="AF91"/>
  <c r="AF152" s="1"/>
  <c r="AE91"/>
  <c r="AE152" s="1"/>
  <c r="AD91"/>
  <c r="AD152" s="1"/>
  <c r="AC91"/>
  <c r="AC152" s="1"/>
  <c r="AB91"/>
  <c r="AB152" s="1"/>
  <c r="AA91"/>
  <c r="AA152" s="1"/>
  <c r="Z91"/>
  <c r="Z152" s="1"/>
  <c r="Y91"/>
  <c r="Y152" s="1"/>
  <c r="X91"/>
  <c r="X152" s="1"/>
  <c r="W91"/>
  <c r="W152" s="1"/>
  <c r="V91"/>
  <c r="V152" s="1"/>
  <c r="U91"/>
  <c r="U152" s="1"/>
  <c r="T91"/>
  <c r="T152" s="1"/>
  <c r="S91"/>
  <c r="S152" s="1"/>
  <c r="R91"/>
  <c r="R152" s="1"/>
  <c r="Q91"/>
  <c r="Q152" s="1"/>
  <c r="P91"/>
  <c r="P152" s="1"/>
  <c r="O91"/>
  <c r="O152" s="1"/>
  <c r="N91"/>
  <c r="N152" s="1"/>
  <c r="M91"/>
  <c r="M152" s="1"/>
  <c r="L91"/>
  <c r="L152" s="1"/>
  <c r="K91"/>
  <c r="K152" s="1"/>
  <c r="J91"/>
  <c r="J152" s="1"/>
  <c r="I91"/>
  <c r="I152" s="1"/>
  <c r="H91"/>
  <c r="G91"/>
  <c r="F91"/>
  <c r="E91"/>
  <c r="AL90"/>
  <c r="AK90"/>
  <c r="AJ90"/>
  <c r="AI90"/>
  <c r="AH90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AL89"/>
  <c r="AL151" s="1"/>
  <c r="AK89"/>
  <c r="AK151" s="1"/>
  <c r="AJ89"/>
  <c r="AJ151" s="1"/>
  <c r="AI89"/>
  <c r="AI151" s="1"/>
  <c r="AH89"/>
  <c r="AH151" s="1"/>
  <c r="AG89"/>
  <c r="AG151" s="1"/>
  <c r="AF89"/>
  <c r="AF151" s="1"/>
  <c r="AE89"/>
  <c r="AE151" s="1"/>
  <c r="AD89"/>
  <c r="AD151" s="1"/>
  <c r="AC89"/>
  <c r="AC151" s="1"/>
  <c r="AB89"/>
  <c r="AB151" s="1"/>
  <c r="AA89"/>
  <c r="AA151" s="1"/>
  <c r="Z89"/>
  <c r="Z151" s="1"/>
  <c r="Y89"/>
  <c r="Y151" s="1"/>
  <c r="X89"/>
  <c r="X151" s="1"/>
  <c r="W89"/>
  <c r="W151" s="1"/>
  <c r="V89"/>
  <c r="V151" s="1"/>
  <c r="U89"/>
  <c r="U151" s="1"/>
  <c r="T89"/>
  <c r="T151" s="1"/>
  <c r="S89"/>
  <c r="S151" s="1"/>
  <c r="R89"/>
  <c r="R151" s="1"/>
  <c r="Q89"/>
  <c r="Q151" s="1"/>
  <c r="P89"/>
  <c r="P151" s="1"/>
  <c r="O89"/>
  <c r="O151" s="1"/>
  <c r="N89"/>
  <c r="N151" s="1"/>
  <c r="M89"/>
  <c r="M151" s="1"/>
  <c r="L89"/>
  <c r="L151" s="1"/>
  <c r="K89"/>
  <c r="K151" s="1"/>
  <c r="J89"/>
  <c r="J151" s="1"/>
  <c r="I89"/>
  <c r="I151" s="1"/>
  <c r="H89"/>
  <c r="G89"/>
  <c r="F89"/>
  <c r="E89"/>
  <c r="AL88"/>
  <c r="AK88"/>
  <c r="AJ88"/>
  <c r="AI88"/>
  <c r="AH88"/>
  <c r="AG88"/>
  <c r="AF88"/>
  <c r="AE88"/>
  <c r="AD88"/>
  <c r="AC88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AL87"/>
  <c r="AL150" s="1"/>
  <c r="AK87"/>
  <c r="AK150" s="1"/>
  <c r="AJ87"/>
  <c r="AJ150" s="1"/>
  <c r="AI87"/>
  <c r="AI150" s="1"/>
  <c r="AH87"/>
  <c r="AH150" s="1"/>
  <c r="AG87"/>
  <c r="AG150" s="1"/>
  <c r="AF87"/>
  <c r="AF150" s="1"/>
  <c r="AE87"/>
  <c r="AE150" s="1"/>
  <c r="AD87"/>
  <c r="AD150" s="1"/>
  <c r="AC87"/>
  <c r="AC150" s="1"/>
  <c r="AB87"/>
  <c r="AB150" s="1"/>
  <c r="AA87"/>
  <c r="AA150" s="1"/>
  <c r="Z87"/>
  <c r="Z150" s="1"/>
  <c r="Y87"/>
  <c r="Y150" s="1"/>
  <c r="X87"/>
  <c r="X150" s="1"/>
  <c r="W87"/>
  <c r="W150" s="1"/>
  <c r="V87"/>
  <c r="V150" s="1"/>
  <c r="U87"/>
  <c r="U150" s="1"/>
  <c r="T87"/>
  <c r="T150" s="1"/>
  <c r="S87"/>
  <c r="S150" s="1"/>
  <c r="R87"/>
  <c r="R150" s="1"/>
  <c r="Q87"/>
  <c r="Q150" s="1"/>
  <c r="P87"/>
  <c r="P150" s="1"/>
  <c r="O87"/>
  <c r="O150" s="1"/>
  <c r="N87"/>
  <c r="N150" s="1"/>
  <c r="M87"/>
  <c r="M150" s="1"/>
  <c r="L87"/>
  <c r="L150" s="1"/>
  <c r="K87"/>
  <c r="K150" s="1"/>
  <c r="J87"/>
  <c r="J150" s="1"/>
  <c r="I87"/>
  <c r="I150" s="1"/>
  <c r="H87"/>
  <c r="G87"/>
  <c r="F87"/>
  <c r="E87"/>
  <c r="AL86"/>
  <c r="AK86"/>
  <c r="AJ86"/>
  <c r="AI86"/>
  <c r="AH86"/>
  <c r="AG86"/>
  <c r="AF86"/>
  <c r="AE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AL85"/>
  <c r="AL149" s="1"/>
  <c r="AK85"/>
  <c r="AK149" s="1"/>
  <c r="AJ85"/>
  <c r="AJ149" s="1"/>
  <c r="AI85"/>
  <c r="AI149" s="1"/>
  <c r="AH85"/>
  <c r="AH149" s="1"/>
  <c r="AG85"/>
  <c r="AG149" s="1"/>
  <c r="AF85"/>
  <c r="AF149" s="1"/>
  <c r="AE85"/>
  <c r="AE149" s="1"/>
  <c r="AD85"/>
  <c r="AD149" s="1"/>
  <c r="AC85"/>
  <c r="AC149" s="1"/>
  <c r="AB85"/>
  <c r="AB149" s="1"/>
  <c r="AA85"/>
  <c r="AA149" s="1"/>
  <c r="Z85"/>
  <c r="Z149" s="1"/>
  <c r="Y85"/>
  <c r="Y149" s="1"/>
  <c r="X85"/>
  <c r="X149" s="1"/>
  <c r="W85"/>
  <c r="W149" s="1"/>
  <c r="V85"/>
  <c r="V149" s="1"/>
  <c r="U85"/>
  <c r="U149" s="1"/>
  <c r="T85"/>
  <c r="T149" s="1"/>
  <c r="S85"/>
  <c r="S149" s="1"/>
  <c r="R85"/>
  <c r="R149" s="1"/>
  <c r="Q85"/>
  <c r="Q149" s="1"/>
  <c r="P85"/>
  <c r="P149" s="1"/>
  <c r="O85"/>
  <c r="O149" s="1"/>
  <c r="N85"/>
  <c r="N149" s="1"/>
  <c r="M85"/>
  <c r="M149" s="1"/>
  <c r="L85"/>
  <c r="L149" s="1"/>
  <c r="K85"/>
  <c r="K149" s="1"/>
  <c r="J85"/>
  <c r="J149" s="1"/>
  <c r="I85"/>
  <c r="I149" s="1"/>
  <c r="H85"/>
  <c r="G85"/>
  <c r="F85"/>
  <c r="E85"/>
  <c r="AL84"/>
  <c r="AK84"/>
  <c r="AJ84"/>
  <c r="AI84"/>
  <c r="AH84"/>
  <c r="AG84"/>
  <c r="AF84"/>
  <c r="AE84"/>
  <c r="AD84"/>
  <c r="AC84"/>
  <c r="AB84"/>
  <c r="AA84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E84"/>
  <c r="AL83"/>
  <c r="AK83"/>
  <c r="AJ83"/>
  <c r="AI83"/>
  <c r="AH83"/>
  <c r="AG83"/>
  <c r="AF83"/>
  <c r="AE83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F83"/>
  <c r="E83"/>
  <c r="AL82"/>
  <c r="AK82"/>
  <c r="AJ82"/>
  <c r="AI82"/>
  <c r="AH82"/>
  <c r="AG82"/>
  <c r="AF82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AL81"/>
  <c r="AK81"/>
  <c r="AJ81"/>
  <c r="AI81"/>
  <c r="AH81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AL80"/>
  <c r="AK80"/>
  <c r="AJ80"/>
  <c r="AI80"/>
  <c r="AH80"/>
  <c r="AG80"/>
  <c r="AF80"/>
  <c r="AE80"/>
  <c r="AD80"/>
  <c r="AC80"/>
  <c r="AB80"/>
  <c r="AA80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AL79"/>
  <c r="AK79"/>
  <c r="AJ79"/>
  <c r="AI79"/>
  <c r="AH79"/>
  <c r="AG79"/>
  <c r="AF79"/>
  <c r="AE79"/>
  <c r="AD79"/>
  <c r="AC79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AL78"/>
  <c r="AK78"/>
  <c r="AJ78"/>
  <c r="AI78"/>
  <c r="AH78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AL77"/>
  <c r="AL144" s="1"/>
  <c r="AK77"/>
  <c r="AK144" s="1"/>
  <c r="AJ77"/>
  <c r="AJ144" s="1"/>
  <c r="AI77"/>
  <c r="AI144" s="1"/>
  <c r="AH77"/>
  <c r="AH144" s="1"/>
  <c r="AG77"/>
  <c r="AG144" s="1"/>
  <c r="AF77"/>
  <c r="AF144" s="1"/>
  <c r="AE77"/>
  <c r="AE144" s="1"/>
  <c r="AD77"/>
  <c r="AD144" s="1"/>
  <c r="AC77"/>
  <c r="AC144" s="1"/>
  <c r="AB77"/>
  <c r="AB144" s="1"/>
  <c r="AA77"/>
  <c r="AA144" s="1"/>
  <c r="Z77"/>
  <c r="Z144" s="1"/>
  <c r="Y77"/>
  <c r="Y144" s="1"/>
  <c r="X77"/>
  <c r="X144" s="1"/>
  <c r="W77"/>
  <c r="W144" s="1"/>
  <c r="V77"/>
  <c r="V144" s="1"/>
  <c r="U77"/>
  <c r="U144" s="1"/>
  <c r="T77"/>
  <c r="T144" s="1"/>
  <c r="S77"/>
  <c r="S144" s="1"/>
  <c r="R77"/>
  <c r="R144" s="1"/>
  <c r="Q77"/>
  <c r="Q144" s="1"/>
  <c r="P77"/>
  <c r="P144" s="1"/>
  <c r="O77"/>
  <c r="O144" s="1"/>
  <c r="N77"/>
  <c r="N144" s="1"/>
  <c r="M77"/>
  <c r="M144" s="1"/>
  <c r="L77"/>
  <c r="L144" s="1"/>
  <c r="K77"/>
  <c r="K144" s="1"/>
  <c r="J77"/>
  <c r="J144" s="1"/>
  <c r="I77"/>
  <c r="I144" s="1"/>
  <c r="H77"/>
  <c r="G77"/>
  <c r="F77"/>
  <c r="E77"/>
  <c r="AL76"/>
  <c r="AL143" s="1"/>
  <c r="AK76"/>
  <c r="AK143" s="1"/>
  <c r="AJ76"/>
  <c r="AJ143" s="1"/>
  <c r="AI76"/>
  <c r="AI143" s="1"/>
  <c r="AH76"/>
  <c r="AH143" s="1"/>
  <c r="AG76"/>
  <c r="AG143" s="1"/>
  <c r="AF76"/>
  <c r="AF143" s="1"/>
  <c r="AE76"/>
  <c r="AE143" s="1"/>
  <c r="AD76"/>
  <c r="AD143" s="1"/>
  <c r="AC76"/>
  <c r="AC143" s="1"/>
  <c r="AB76"/>
  <c r="AB143" s="1"/>
  <c r="AA76"/>
  <c r="AA143" s="1"/>
  <c r="Z76"/>
  <c r="Z143" s="1"/>
  <c r="Y76"/>
  <c r="Y143" s="1"/>
  <c r="X76"/>
  <c r="X143" s="1"/>
  <c r="W76"/>
  <c r="W143" s="1"/>
  <c r="V76"/>
  <c r="V143" s="1"/>
  <c r="U76"/>
  <c r="U143" s="1"/>
  <c r="T76"/>
  <c r="T143" s="1"/>
  <c r="S76"/>
  <c r="S143" s="1"/>
  <c r="R76"/>
  <c r="R143" s="1"/>
  <c r="Q76"/>
  <c r="Q143" s="1"/>
  <c r="P76"/>
  <c r="P143" s="1"/>
  <c r="O76"/>
  <c r="O143" s="1"/>
  <c r="N76"/>
  <c r="N143" s="1"/>
  <c r="M76"/>
  <c r="M143" s="1"/>
  <c r="L76"/>
  <c r="L143" s="1"/>
  <c r="K76"/>
  <c r="K143" s="1"/>
  <c r="J76"/>
  <c r="J143" s="1"/>
  <c r="I76"/>
  <c r="I143" s="1"/>
  <c r="H76"/>
  <c r="G76"/>
  <c r="F76"/>
  <c r="E76"/>
  <c r="AL75"/>
  <c r="AK75"/>
  <c r="AJ75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AL74"/>
  <c r="AL142" s="1"/>
  <c r="AK74"/>
  <c r="AK142" s="1"/>
  <c r="AJ74"/>
  <c r="AJ142" s="1"/>
  <c r="AI74"/>
  <c r="AI142" s="1"/>
  <c r="AH74"/>
  <c r="AH142" s="1"/>
  <c r="AG74"/>
  <c r="AG142" s="1"/>
  <c r="AF74"/>
  <c r="AF142" s="1"/>
  <c r="AE74"/>
  <c r="AE142" s="1"/>
  <c r="AD74"/>
  <c r="AD142" s="1"/>
  <c r="AC74"/>
  <c r="AC142" s="1"/>
  <c r="AB74"/>
  <c r="AB142" s="1"/>
  <c r="AA74"/>
  <c r="AA142" s="1"/>
  <c r="Z74"/>
  <c r="Z142" s="1"/>
  <c r="Y74"/>
  <c r="Y142" s="1"/>
  <c r="X74"/>
  <c r="X142" s="1"/>
  <c r="W74"/>
  <c r="W142" s="1"/>
  <c r="V74"/>
  <c r="V142" s="1"/>
  <c r="U74"/>
  <c r="U142" s="1"/>
  <c r="T74"/>
  <c r="T142" s="1"/>
  <c r="S74"/>
  <c r="S142" s="1"/>
  <c r="R74"/>
  <c r="R142" s="1"/>
  <c r="Q74"/>
  <c r="Q142" s="1"/>
  <c r="P74"/>
  <c r="P142" s="1"/>
  <c r="O74"/>
  <c r="O142" s="1"/>
  <c r="N74"/>
  <c r="N142" s="1"/>
  <c r="M74"/>
  <c r="M142" s="1"/>
  <c r="L74"/>
  <c r="L142" s="1"/>
  <c r="K74"/>
  <c r="K142" s="1"/>
  <c r="J74"/>
  <c r="J142" s="1"/>
  <c r="I74"/>
  <c r="I142" s="1"/>
  <c r="H74"/>
  <c r="G74"/>
  <c r="F74"/>
  <c r="E74"/>
  <c r="AL73"/>
  <c r="AL141" s="1"/>
  <c r="AK73"/>
  <c r="AK141" s="1"/>
  <c r="AJ73"/>
  <c r="AJ141" s="1"/>
  <c r="AI73"/>
  <c r="AI141" s="1"/>
  <c r="AH73"/>
  <c r="AH141" s="1"/>
  <c r="AG73"/>
  <c r="AG141" s="1"/>
  <c r="AF73"/>
  <c r="AF141" s="1"/>
  <c r="AE73"/>
  <c r="AE141" s="1"/>
  <c r="AD73"/>
  <c r="AD141" s="1"/>
  <c r="AC73"/>
  <c r="AC141" s="1"/>
  <c r="AB73"/>
  <c r="AB141" s="1"/>
  <c r="AA73"/>
  <c r="AA141" s="1"/>
  <c r="Z73"/>
  <c r="Z141" s="1"/>
  <c r="Y73"/>
  <c r="Y141" s="1"/>
  <c r="X73"/>
  <c r="X141" s="1"/>
  <c r="W73"/>
  <c r="W141" s="1"/>
  <c r="V73"/>
  <c r="V141" s="1"/>
  <c r="U73"/>
  <c r="U141" s="1"/>
  <c r="T73"/>
  <c r="T141" s="1"/>
  <c r="S73"/>
  <c r="S141" s="1"/>
  <c r="R73"/>
  <c r="R141" s="1"/>
  <c r="Q73"/>
  <c r="Q141" s="1"/>
  <c r="P73"/>
  <c r="P141" s="1"/>
  <c r="O73"/>
  <c r="O141" s="1"/>
  <c r="N73"/>
  <c r="N141" s="1"/>
  <c r="M73"/>
  <c r="M141" s="1"/>
  <c r="L73"/>
  <c r="L141" s="1"/>
  <c r="K73"/>
  <c r="K141" s="1"/>
  <c r="J73"/>
  <c r="J141" s="1"/>
  <c r="I73"/>
  <c r="I141" s="1"/>
  <c r="H73"/>
  <c r="G73"/>
  <c r="F73"/>
  <c r="E73"/>
  <c r="AL71"/>
  <c r="AK71"/>
  <c r="AJ71"/>
  <c r="AI71"/>
  <c r="AH71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AL70"/>
  <c r="AK70"/>
  <c r="AJ70"/>
  <c r="AI70"/>
  <c r="AH70"/>
  <c r="AG70"/>
  <c r="AF70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AL69"/>
  <c r="AK69"/>
  <c r="AJ69"/>
  <c r="AI69"/>
  <c r="AH69"/>
  <c r="AG69"/>
  <c r="AF69"/>
  <c r="AE69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AL68"/>
  <c r="AK68"/>
  <c r="AJ68"/>
  <c r="AI68"/>
  <c r="AH68"/>
  <c r="AG68"/>
  <c r="AF68"/>
  <c r="AE68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AL67"/>
  <c r="AK67"/>
  <c r="AJ67"/>
  <c r="AI67"/>
  <c r="AH67"/>
  <c r="AG67"/>
  <c r="AF67"/>
  <c r="AE67"/>
  <c r="AD67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AL66"/>
  <c r="AK66"/>
  <c r="AJ66"/>
  <c r="AI66"/>
  <c r="AH66"/>
  <c r="AG66"/>
  <c r="AF66"/>
  <c r="AE66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AL65"/>
  <c r="AK65"/>
  <c r="AJ65"/>
  <c r="AI65"/>
  <c r="AH65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AL64"/>
  <c r="AL238" s="1"/>
  <c r="AK64"/>
  <c r="AK238" s="1"/>
  <c r="AJ64"/>
  <c r="AJ238" s="1"/>
  <c r="AI64"/>
  <c r="AI238" s="1"/>
  <c r="AH64"/>
  <c r="AH238" s="1"/>
  <c r="AG64"/>
  <c r="AG238" s="1"/>
  <c r="AF64"/>
  <c r="AF238" s="1"/>
  <c r="AE64"/>
  <c r="AE238" s="1"/>
  <c r="AD64"/>
  <c r="AD238" s="1"/>
  <c r="AC64"/>
  <c r="AC238" s="1"/>
  <c r="AB64"/>
  <c r="AB238" s="1"/>
  <c r="AA64"/>
  <c r="AA238" s="1"/>
  <c r="Z64"/>
  <c r="Z238" s="1"/>
  <c r="Y64"/>
  <c r="Y238" s="1"/>
  <c r="X64"/>
  <c r="X238" s="1"/>
  <c r="W64"/>
  <c r="W238" s="1"/>
  <c r="V64"/>
  <c r="V238" s="1"/>
  <c r="U64"/>
  <c r="U238" s="1"/>
  <c r="T64"/>
  <c r="T238" s="1"/>
  <c r="S64"/>
  <c r="S238" s="1"/>
  <c r="R64"/>
  <c r="R238" s="1"/>
  <c r="Q64"/>
  <c r="Q238" s="1"/>
  <c r="P64"/>
  <c r="P238" s="1"/>
  <c r="O64"/>
  <c r="O238" s="1"/>
  <c r="N64"/>
  <c r="N238" s="1"/>
  <c r="M64"/>
  <c r="M238" s="1"/>
  <c r="L64"/>
  <c r="L238" s="1"/>
  <c r="K64"/>
  <c r="K238" s="1"/>
  <c r="J64"/>
  <c r="J238" s="1"/>
  <c r="I64"/>
  <c r="I238" s="1"/>
  <c r="H64"/>
  <c r="H238" s="1"/>
  <c r="G64"/>
  <c r="G238" s="1"/>
  <c r="F64"/>
  <c r="F238" s="1"/>
  <c r="E64"/>
  <c r="E238" s="1"/>
  <c r="AL62"/>
  <c r="AK62"/>
  <c r="AJ62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AL61"/>
  <c r="AK61"/>
  <c r="AJ61"/>
  <c r="AI61"/>
  <c r="AH61"/>
  <c r="AG61"/>
  <c r="AF61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AL55"/>
  <c r="AL60" s="1"/>
  <c r="AK55"/>
  <c r="AK60" s="1"/>
  <c r="AJ55"/>
  <c r="AJ60" s="1"/>
  <c r="AI55"/>
  <c r="AI60" s="1"/>
  <c r="AH55"/>
  <c r="AH60" s="1"/>
  <c r="AG55"/>
  <c r="AG60" s="1"/>
  <c r="AF55"/>
  <c r="AF60" s="1"/>
  <c r="AE55"/>
  <c r="AE60" s="1"/>
  <c r="AD55"/>
  <c r="AD60" s="1"/>
  <c r="AC55"/>
  <c r="AC60" s="1"/>
  <c r="AB55"/>
  <c r="AB60" s="1"/>
  <c r="AA55"/>
  <c r="AA60" s="1"/>
  <c r="Z55"/>
  <c r="Z60" s="1"/>
  <c r="Y55"/>
  <c r="Y60" s="1"/>
  <c r="X55"/>
  <c r="X60" s="1"/>
  <c r="W55"/>
  <c r="W60" s="1"/>
  <c r="V55"/>
  <c r="V60" s="1"/>
  <c r="U55"/>
  <c r="U60" s="1"/>
  <c r="T55"/>
  <c r="T60" s="1"/>
  <c r="S55"/>
  <c r="S60" s="1"/>
  <c r="R55"/>
  <c r="R60" s="1"/>
  <c r="Q55"/>
  <c r="Q60" s="1"/>
  <c r="P55"/>
  <c r="P60" s="1"/>
  <c r="O55"/>
  <c r="O60" s="1"/>
  <c r="N55"/>
  <c r="N60" s="1"/>
  <c r="M55"/>
  <c r="M60" s="1"/>
  <c r="L55"/>
  <c r="L60" s="1"/>
  <c r="K55"/>
  <c r="K60" s="1"/>
  <c r="J55"/>
  <c r="J60" s="1"/>
  <c r="I55"/>
  <c r="I60" s="1"/>
  <c r="H55"/>
  <c r="G55"/>
  <c r="F55"/>
  <c r="E55"/>
  <c r="AL54"/>
  <c r="AK54"/>
  <c r="AJ54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AL53"/>
  <c r="AK53"/>
  <c r="AJ53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AL52"/>
  <c r="AK52"/>
  <c r="AJ52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AL50"/>
  <c r="AK50"/>
  <c r="AJ50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AL49"/>
  <c r="AK49"/>
  <c r="AJ49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AL47"/>
  <c r="AL179" s="1"/>
  <c r="AK47"/>
  <c r="AK179" s="1"/>
  <c r="AJ47"/>
  <c r="AJ179" s="1"/>
  <c r="AI47"/>
  <c r="AI179" s="1"/>
  <c r="AH47"/>
  <c r="AH179" s="1"/>
  <c r="AG47"/>
  <c r="AG179" s="1"/>
  <c r="AF47"/>
  <c r="AF179" s="1"/>
  <c r="AE47"/>
  <c r="AE179" s="1"/>
  <c r="AD47"/>
  <c r="AD179" s="1"/>
  <c r="AC47"/>
  <c r="AC179" s="1"/>
  <c r="AB47"/>
  <c r="AB179" s="1"/>
  <c r="AA47"/>
  <c r="AA179" s="1"/>
  <c r="Z47"/>
  <c r="Z179" s="1"/>
  <c r="Y47"/>
  <c r="Y179" s="1"/>
  <c r="X47"/>
  <c r="X179" s="1"/>
  <c r="W47"/>
  <c r="W179" s="1"/>
  <c r="V47"/>
  <c r="V179" s="1"/>
  <c r="U47"/>
  <c r="U179" s="1"/>
  <c r="T47"/>
  <c r="T179" s="1"/>
  <c r="S47"/>
  <c r="S179" s="1"/>
  <c r="R47"/>
  <c r="R179" s="1"/>
  <c r="Q47"/>
  <c r="Q179" s="1"/>
  <c r="P47"/>
  <c r="P179" s="1"/>
  <c r="O47"/>
  <c r="O179" s="1"/>
  <c r="N47"/>
  <c r="N179" s="1"/>
  <c r="M47"/>
  <c r="M179" s="1"/>
  <c r="L47"/>
  <c r="L179" s="1"/>
  <c r="K47"/>
  <c r="K179" s="1"/>
  <c r="J47"/>
  <c r="J179" s="1"/>
  <c r="I47"/>
  <c r="I179" s="1"/>
  <c r="H47"/>
  <c r="G47"/>
  <c r="F47"/>
  <c r="E47"/>
  <c r="AL46"/>
  <c r="AK46"/>
  <c r="AJ46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AL45"/>
  <c r="AK45"/>
  <c r="AJ45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AL44"/>
  <c r="AK44"/>
  <c r="AJ44"/>
  <c r="AI44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AL43"/>
  <c r="AK43"/>
  <c r="AJ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AL42"/>
  <c r="AK42"/>
  <c r="AJ42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H42"/>
  <c r="G42"/>
  <c r="F42"/>
  <c r="E42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H41"/>
  <c r="G41"/>
  <c r="F41"/>
  <c r="E41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AL39"/>
  <c r="AK39"/>
  <c r="AJ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AL37"/>
  <c r="AL173" s="1"/>
  <c r="AK37"/>
  <c r="AK173" s="1"/>
  <c r="AJ37"/>
  <c r="AJ173" s="1"/>
  <c r="AI37"/>
  <c r="AI173" s="1"/>
  <c r="AH37"/>
  <c r="AH173" s="1"/>
  <c r="AG37"/>
  <c r="AG173" s="1"/>
  <c r="AF37"/>
  <c r="AF173" s="1"/>
  <c r="AE37"/>
  <c r="AE173" s="1"/>
  <c r="AD37"/>
  <c r="AD173" s="1"/>
  <c r="AC37"/>
  <c r="AC173" s="1"/>
  <c r="AB37"/>
  <c r="AB173" s="1"/>
  <c r="AA37"/>
  <c r="AA173" s="1"/>
  <c r="Z37"/>
  <c r="Z173" s="1"/>
  <c r="Y37"/>
  <c r="Y173" s="1"/>
  <c r="X37"/>
  <c r="X173" s="1"/>
  <c r="W37"/>
  <c r="W173" s="1"/>
  <c r="V37"/>
  <c r="V173" s="1"/>
  <c r="U37"/>
  <c r="U173" s="1"/>
  <c r="T37"/>
  <c r="T173" s="1"/>
  <c r="S37"/>
  <c r="S173" s="1"/>
  <c r="R37"/>
  <c r="R173" s="1"/>
  <c r="Q37"/>
  <c r="Q173" s="1"/>
  <c r="P37"/>
  <c r="P173" s="1"/>
  <c r="O37"/>
  <c r="O173" s="1"/>
  <c r="N37"/>
  <c r="N173" s="1"/>
  <c r="M37"/>
  <c r="M173" s="1"/>
  <c r="L37"/>
  <c r="L173" s="1"/>
  <c r="K37"/>
  <c r="K173" s="1"/>
  <c r="J37"/>
  <c r="J173" s="1"/>
  <c r="I37"/>
  <c r="I173" s="1"/>
  <c r="H37"/>
  <c r="G37"/>
  <c r="F37"/>
  <c r="E37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AL35"/>
  <c r="AL172" s="1"/>
  <c r="AK35"/>
  <c r="AK172" s="1"/>
  <c r="AJ35"/>
  <c r="AJ172" s="1"/>
  <c r="AI35"/>
  <c r="AI172" s="1"/>
  <c r="AH35"/>
  <c r="AH172" s="1"/>
  <c r="AG35"/>
  <c r="AG172" s="1"/>
  <c r="AF35"/>
  <c r="AF172" s="1"/>
  <c r="AE35"/>
  <c r="AE172" s="1"/>
  <c r="AD35"/>
  <c r="AD172" s="1"/>
  <c r="AC35"/>
  <c r="AC172" s="1"/>
  <c r="AB35"/>
  <c r="AB172" s="1"/>
  <c r="AA35"/>
  <c r="AA172" s="1"/>
  <c r="Z35"/>
  <c r="Z172" s="1"/>
  <c r="Y35"/>
  <c r="Y172" s="1"/>
  <c r="X35"/>
  <c r="X172" s="1"/>
  <c r="W35"/>
  <c r="W172" s="1"/>
  <c r="V35"/>
  <c r="V172" s="1"/>
  <c r="U35"/>
  <c r="U172" s="1"/>
  <c r="T35"/>
  <c r="T172" s="1"/>
  <c r="S35"/>
  <c r="S172" s="1"/>
  <c r="R35"/>
  <c r="R172" s="1"/>
  <c r="Q35"/>
  <c r="Q172" s="1"/>
  <c r="P35"/>
  <c r="P172" s="1"/>
  <c r="O35"/>
  <c r="O172" s="1"/>
  <c r="N35"/>
  <c r="N172" s="1"/>
  <c r="M35"/>
  <c r="M172" s="1"/>
  <c r="L35"/>
  <c r="L172" s="1"/>
  <c r="K35"/>
  <c r="K172" s="1"/>
  <c r="J35"/>
  <c r="J172" s="1"/>
  <c r="I35"/>
  <c r="I172" s="1"/>
  <c r="H35"/>
  <c r="G35"/>
  <c r="F35"/>
  <c r="E35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AL33"/>
  <c r="AL171" s="1"/>
  <c r="AK33"/>
  <c r="AK171" s="1"/>
  <c r="AJ33"/>
  <c r="AJ171" s="1"/>
  <c r="AI33"/>
  <c r="AI171" s="1"/>
  <c r="AH33"/>
  <c r="AH171" s="1"/>
  <c r="AG33"/>
  <c r="AG171" s="1"/>
  <c r="AF33"/>
  <c r="AF171" s="1"/>
  <c r="AE33"/>
  <c r="AE171" s="1"/>
  <c r="AD33"/>
  <c r="AD171" s="1"/>
  <c r="AC33"/>
  <c r="AC171" s="1"/>
  <c r="AB33"/>
  <c r="AB171" s="1"/>
  <c r="AA33"/>
  <c r="AA171" s="1"/>
  <c r="Z33"/>
  <c r="Z171" s="1"/>
  <c r="Y33"/>
  <c r="Y171" s="1"/>
  <c r="X33"/>
  <c r="X171" s="1"/>
  <c r="W33"/>
  <c r="W171" s="1"/>
  <c r="V33"/>
  <c r="V171" s="1"/>
  <c r="U33"/>
  <c r="U171" s="1"/>
  <c r="T33"/>
  <c r="T171" s="1"/>
  <c r="S33"/>
  <c r="S171" s="1"/>
  <c r="R33"/>
  <c r="R171" s="1"/>
  <c r="Q33"/>
  <c r="Q171" s="1"/>
  <c r="P33"/>
  <c r="P171" s="1"/>
  <c r="O33"/>
  <c r="O171" s="1"/>
  <c r="N33"/>
  <c r="N171" s="1"/>
  <c r="M33"/>
  <c r="M171" s="1"/>
  <c r="L33"/>
  <c r="L171" s="1"/>
  <c r="K33"/>
  <c r="K171" s="1"/>
  <c r="J33"/>
  <c r="J171" s="1"/>
  <c r="I33"/>
  <c r="I171" s="1"/>
  <c r="H33"/>
  <c r="G33"/>
  <c r="F33"/>
  <c r="E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AL31"/>
  <c r="AL170" s="1"/>
  <c r="AK31"/>
  <c r="AK170" s="1"/>
  <c r="AJ31"/>
  <c r="AJ170" s="1"/>
  <c r="AI31"/>
  <c r="AI170" s="1"/>
  <c r="AH31"/>
  <c r="AH170" s="1"/>
  <c r="AG31"/>
  <c r="AG170" s="1"/>
  <c r="AF31"/>
  <c r="AF170" s="1"/>
  <c r="AE31"/>
  <c r="AE170" s="1"/>
  <c r="AD31"/>
  <c r="AD170" s="1"/>
  <c r="AC31"/>
  <c r="AC170" s="1"/>
  <c r="AB31"/>
  <c r="AB170" s="1"/>
  <c r="AA31"/>
  <c r="AA170" s="1"/>
  <c r="Z31"/>
  <c r="Z170" s="1"/>
  <c r="Y31"/>
  <c r="Y170" s="1"/>
  <c r="X31"/>
  <c r="X170" s="1"/>
  <c r="W31"/>
  <c r="W170" s="1"/>
  <c r="V31"/>
  <c r="V170" s="1"/>
  <c r="U31"/>
  <c r="U170" s="1"/>
  <c r="T31"/>
  <c r="T170" s="1"/>
  <c r="S31"/>
  <c r="S170" s="1"/>
  <c r="R31"/>
  <c r="R170" s="1"/>
  <c r="Q31"/>
  <c r="Q170" s="1"/>
  <c r="P31"/>
  <c r="P170" s="1"/>
  <c r="O31"/>
  <c r="O170" s="1"/>
  <c r="N31"/>
  <c r="N170" s="1"/>
  <c r="M31"/>
  <c r="M170" s="1"/>
  <c r="L31"/>
  <c r="L170" s="1"/>
  <c r="K31"/>
  <c r="K170" s="1"/>
  <c r="J31"/>
  <c r="J170" s="1"/>
  <c r="I31"/>
  <c r="I170" s="1"/>
  <c r="H31"/>
  <c r="G31"/>
  <c r="F31"/>
  <c r="E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L26"/>
  <c r="K26"/>
  <c r="J26"/>
  <c r="H26"/>
  <c r="G26"/>
  <c r="F26"/>
  <c r="E26"/>
  <c r="AL25"/>
  <c r="AL160" s="1"/>
  <c r="AK25"/>
  <c r="AK160" s="1"/>
  <c r="AJ25"/>
  <c r="AJ160" s="1"/>
  <c r="AI25"/>
  <c r="AI160" s="1"/>
  <c r="AH25"/>
  <c r="AH160" s="1"/>
  <c r="AG25"/>
  <c r="AG160" s="1"/>
  <c r="AF25"/>
  <c r="AF160" s="1"/>
  <c r="AE25"/>
  <c r="AE160" s="1"/>
  <c r="AD25"/>
  <c r="AD160" s="1"/>
  <c r="AC25"/>
  <c r="AC160" s="1"/>
  <c r="AB25"/>
  <c r="AB160" s="1"/>
  <c r="AA25"/>
  <c r="AA160" s="1"/>
  <c r="Z25"/>
  <c r="Z160" s="1"/>
  <c r="Y25"/>
  <c r="Y160" s="1"/>
  <c r="X25"/>
  <c r="X160" s="1"/>
  <c r="W25"/>
  <c r="W160" s="1"/>
  <c r="V25"/>
  <c r="V160" s="1"/>
  <c r="U25"/>
  <c r="U160" s="1"/>
  <c r="T25"/>
  <c r="T160" s="1"/>
  <c r="S25"/>
  <c r="S160" s="1"/>
  <c r="R25"/>
  <c r="R160" s="1"/>
  <c r="Q25"/>
  <c r="Q160" s="1"/>
  <c r="P25"/>
  <c r="P160" s="1"/>
  <c r="O25"/>
  <c r="O160" s="1"/>
  <c r="N25"/>
  <c r="N160" s="1"/>
  <c r="M25"/>
  <c r="M160" s="1"/>
  <c r="L25"/>
  <c r="L160" s="1"/>
  <c r="K25"/>
  <c r="J25"/>
  <c r="J160" s="1"/>
  <c r="I25"/>
  <c r="I160" s="1"/>
  <c r="H25"/>
  <c r="G25"/>
  <c r="F25"/>
  <c r="E25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AL17"/>
  <c r="AL233" s="1"/>
  <c r="AK17"/>
  <c r="AK233" s="1"/>
  <c r="AJ17"/>
  <c r="AJ233" s="1"/>
  <c r="AI17"/>
  <c r="AI233" s="1"/>
  <c r="AH17"/>
  <c r="AH233" s="1"/>
  <c r="AG17"/>
  <c r="AG233" s="1"/>
  <c r="AF17"/>
  <c r="AF233" s="1"/>
  <c r="AE17"/>
  <c r="AE233" s="1"/>
  <c r="AD17"/>
  <c r="AD233" s="1"/>
  <c r="AC17"/>
  <c r="AC233" s="1"/>
  <c r="AB17"/>
  <c r="AB233" s="1"/>
  <c r="AA17"/>
  <c r="AA233" s="1"/>
  <c r="Z17"/>
  <c r="Z233" s="1"/>
  <c r="Y17"/>
  <c r="Y233" s="1"/>
  <c r="X17"/>
  <c r="X233" s="1"/>
  <c r="W17"/>
  <c r="W233" s="1"/>
  <c r="V17"/>
  <c r="V233" s="1"/>
  <c r="U17"/>
  <c r="U233" s="1"/>
  <c r="T17"/>
  <c r="T233" s="1"/>
  <c r="S17"/>
  <c r="S233" s="1"/>
  <c r="R17"/>
  <c r="R233" s="1"/>
  <c r="Q17"/>
  <c r="Q233" s="1"/>
  <c r="P17"/>
  <c r="P233" s="1"/>
  <c r="O17"/>
  <c r="O233" s="1"/>
  <c r="N17"/>
  <c r="N233" s="1"/>
  <c r="M17"/>
  <c r="M233" s="1"/>
  <c r="L17"/>
  <c r="L233" s="1"/>
  <c r="K17"/>
  <c r="K233" s="1"/>
  <c r="J17"/>
  <c r="J233" s="1"/>
  <c r="I17"/>
  <c r="I233" s="1"/>
  <c r="H17"/>
  <c r="H233" s="1"/>
  <c r="G17"/>
  <c r="G233" s="1"/>
  <c r="F17"/>
  <c r="F233" s="1"/>
  <c r="E17"/>
  <c r="E233" s="1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AL15"/>
  <c r="AL132" s="1"/>
  <c r="AK15"/>
  <c r="AK132" s="1"/>
  <c r="AJ15"/>
  <c r="AJ132" s="1"/>
  <c r="AI15"/>
  <c r="AI132" s="1"/>
  <c r="AH15"/>
  <c r="AH132" s="1"/>
  <c r="AG15"/>
  <c r="AG132" s="1"/>
  <c r="AF15"/>
  <c r="AF132" s="1"/>
  <c r="AE15"/>
  <c r="AE132" s="1"/>
  <c r="AD15"/>
  <c r="AD132" s="1"/>
  <c r="AC15"/>
  <c r="AC132" s="1"/>
  <c r="AB15"/>
  <c r="AB132" s="1"/>
  <c r="AA15"/>
  <c r="AA132" s="1"/>
  <c r="Z15"/>
  <c r="Z132" s="1"/>
  <c r="Y15"/>
  <c r="Y132" s="1"/>
  <c r="X15"/>
  <c r="X132" s="1"/>
  <c r="W15"/>
  <c r="W132" s="1"/>
  <c r="V15"/>
  <c r="V132" s="1"/>
  <c r="U15"/>
  <c r="U132" s="1"/>
  <c r="T15"/>
  <c r="T132" s="1"/>
  <c r="S15"/>
  <c r="S132" s="1"/>
  <c r="R15"/>
  <c r="R132" s="1"/>
  <c r="Q15"/>
  <c r="Q132" s="1"/>
  <c r="P15"/>
  <c r="P132" s="1"/>
  <c r="O15"/>
  <c r="O132" s="1"/>
  <c r="N15"/>
  <c r="N132" s="1"/>
  <c r="M15"/>
  <c r="M132" s="1"/>
  <c r="L15"/>
  <c r="L132" s="1"/>
  <c r="K15"/>
  <c r="K132" s="1"/>
  <c r="J15"/>
  <c r="J132" s="1"/>
  <c r="I15"/>
  <c r="I132" s="1"/>
  <c r="H15"/>
  <c r="G15"/>
  <c r="F15"/>
  <c r="E15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AL12"/>
  <c r="AL131" s="1"/>
  <c r="AK12"/>
  <c r="AK131" s="1"/>
  <c r="AJ12"/>
  <c r="AJ131" s="1"/>
  <c r="AI12"/>
  <c r="AI131" s="1"/>
  <c r="AH12"/>
  <c r="AH131" s="1"/>
  <c r="AG12"/>
  <c r="AG131" s="1"/>
  <c r="AF12"/>
  <c r="AF131" s="1"/>
  <c r="AE12"/>
  <c r="AE131" s="1"/>
  <c r="AD12"/>
  <c r="AD131" s="1"/>
  <c r="AC12"/>
  <c r="AC131" s="1"/>
  <c r="AB12"/>
  <c r="AB131" s="1"/>
  <c r="AA12"/>
  <c r="AA131" s="1"/>
  <c r="Z12"/>
  <c r="Z131" s="1"/>
  <c r="Y12"/>
  <c r="Y131" s="1"/>
  <c r="X12"/>
  <c r="X131" s="1"/>
  <c r="W12"/>
  <c r="W131" s="1"/>
  <c r="V12"/>
  <c r="V131" s="1"/>
  <c r="U12"/>
  <c r="U131" s="1"/>
  <c r="T12"/>
  <c r="T131" s="1"/>
  <c r="S12"/>
  <c r="S131" s="1"/>
  <c r="R12"/>
  <c r="R131" s="1"/>
  <c r="Q12"/>
  <c r="Q131" s="1"/>
  <c r="P12"/>
  <c r="P131" s="1"/>
  <c r="O12"/>
  <c r="O131" s="1"/>
  <c r="N12"/>
  <c r="N131" s="1"/>
  <c r="M12"/>
  <c r="M131" s="1"/>
  <c r="L12"/>
  <c r="L131" s="1"/>
  <c r="K12"/>
  <c r="K131" s="1"/>
  <c r="J12"/>
  <c r="J131" s="1"/>
  <c r="I12"/>
  <c r="I131" s="1"/>
  <c r="H12"/>
  <c r="G12"/>
  <c r="F12"/>
  <c r="E12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I7"/>
  <c r="I56" s="1"/>
  <c r="I6"/>
  <c r="G51" i="6"/>
  <c r="H51"/>
  <c r="F51"/>
  <c r="F52"/>
  <c r="G52"/>
  <c r="H52"/>
  <c r="F63"/>
  <c r="G63"/>
  <c r="H63"/>
  <c r="S86"/>
  <c r="S85"/>
  <c r="S84"/>
  <c r="S83"/>
  <c r="S82"/>
  <c r="S81"/>
  <c r="S80"/>
  <c r="S79"/>
  <c r="S78"/>
  <c r="S77"/>
  <c r="S76"/>
  <c r="S75"/>
  <c r="K160" i="7" l="1"/>
  <c r="J126"/>
  <c r="L126"/>
  <c r="N126"/>
  <c r="P126"/>
  <c r="R126"/>
  <c r="T126"/>
  <c r="V126"/>
  <c r="X126"/>
  <c r="Z126"/>
  <c r="AB126"/>
  <c r="AD126"/>
  <c r="AF126"/>
  <c r="AH126"/>
  <c r="AJ126"/>
  <c r="AL126"/>
  <c r="F187"/>
  <c r="J127"/>
  <c r="L127"/>
  <c r="F229"/>
  <c r="F228"/>
  <c r="F212"/>
  <c r="F207"/>
  <c r="F185"/>
  <c r="H229"/>
  <c r="H228"/>
  <c r="H212"/>
  <c r="H207"/>
  <c r="H185"/>
  <c r="J229"/>
  <c r="J228"/>
  <c r="J212"/>
  <c r="J207"/>
  <c r="J185"/>
  <c r="J197"/>
  <c r="J196"/>
  <c r="J195"/>
  <c r="J194"/>
  <c r="L229"/>
  <c r="L228"/>
  <c r="L212"/>
  <c r="L207"/>
  <c r="L185"/>
  <c r="L197"/>
  <c r="L196"/>
  <c r="L195"/>
  <c r="L194"/>
  <c r="N229"/>
  <c r="N228"/>
  <c r="N212"/>
  <c r="N207"/>
  <c r="N185"/>
  <c r="N197"/>
  <c r="N196"/>
  <c r="N195"/>
  <c r="N194"/>
  <c r="P229"/>
  <c r="P228"/>
  <c r="P212"/>
  <c r="P207"/>
  <c r="P185"/>
  <c r="P197"/>
  <c r="P196"/>
  <c r="P195"/>
  <c r="P194"/>
  <c r="R229"/>
  <c r="R228"/>
  <c r="R207"/>
  <c r="R212"/>
  <c r="R185"/>
  <c r="R197"/>
  <c r="R196"/>
  <c r="R195"/>
  <c r="R194"/>
  <c r="T229"/>
  <c r="T228"/>
  <c r="T213"/>
  <c r="T211"/>
  <c r="T209"/>
  <c r="T207"/>
  <c r="T212"/>
  <c r="T210"/>
  <c r="T208"/>
  <c r="T205"/>
  <c r="T203"/>
  <c r="T185"/>
  <c r="T206"/>
  <c r="T204"/>
  <c r="T202"/>
  <c r="T197"/>
  <c r="T196"/>
  <c r="T195"/>
  <c r="T194"/>
  <c r="V229"/>
  <c r="V228"/>
  <c r="V213"/>
  <c r="V211"/>
  <c r="V209"/>
  <c r="V207"/>
  <c r="V212"/>
  <c r="V210"/>
  <c r="V208"/>
  <c r="V205"/>
  <c r="V203"/>
  <c r="V185"/>
  <c r="V206"/>
  <c r="V204"/>
  <c r="V202"/>
  <c r="V197"/>
  <c r="V196"/>
  <c r="V195"/>
  <c r="V194"/>
  <c r="X229"/>
  <c r="X228"/>
  <c r="X213"/>
  <c r="X211"/>
  <c r="X209"/>
  <c r="X207"/>
  <c r="X212"/>
  <c r="X210"/>
  <c r="X208"/>
  <c r="X205"/>
  <c r="X203"/>
  <c r="X185"/>
  <c r="X206"/>
  <c r="X204"/>
  <c r="X202"/>
  <c r="X197"/>
  <c r="X196"/>
  <c r="X195"/>
  <c r="X194"/>
  <c r="Z229"/>
  <c r="Z228"/>
  <c r="Z213"/>
  <c r="Z211"/>
  <c r="Z209"/>
  <c r="Z207"/>
  <c r="Z212"/>
  <c r="Z210"/>
  <c r="Z208"/>
  <c r="Z205"/>
  <c r="Z203"/>
  <c r="Z185"/>
  <c r="Z206"/>
  <c r="Z204"/>
  <c r="Z202"/>
  <c r="Z197"/>
  <c r="Z196"/>
  <c r="Z195"/>
  <c r="Z194"/>
  <c r="AB229"/>
  <c r="AB228"/>
  <c r="AB213"/>
  <c r="AB211"/>
  <c r="AB209"/>
  <c r="AB207"/>
  <c r="AB212"/>
  <c r="AB210"/>
  <c r="AB208"/>
  <c r="AB205"/>
  <c r="AB203"/>
  <c r="AB185"/>
  <c r="AB206"/>
  <c r="AB204"/>
  <c r="AB202"/>
  <c r="AB197"/>
  <c r="AB196"/>
  <c r="AB195"/>
  <c r="AB194"/>
  <c r="AD229"/>
  <c r="AD228"/>
  <c r="AD213"/>
  <c r="AD211"/>
  <c r="AD209"/>
  <c r="AD207"/>
  <c r="AD212"/>
  <c r="AD210"/>
  <c r="AD208"/>
  <c r="AD205"/>
  <c r="AD203"/>
  <c r="AD185"/>
  <c r="AD206"/>
  <c r="AD204"/>
  <c r="AD202"/>
  <c r="AD197"/>
  <c r="AD196"/>
  <c r="AD195"/>
  <c r="AD194"/>
  <c r="AF229"/>
  <c r="AF228"/>
  <c r="AF213"/>
  <c r="AF211"/>
  <c r="AF209"/>
  <c r="AF207"/>
  <c r="AF212"/>
  <c r="AF210"/>
  <c r="AF208"/>
  <c r="AF205"/>
  <c r="AF203"/>
  <c r="AF185"/>
  <c r="AF206"/>
  <c r="AF204"/>
  <c r="AF202"/>
  <c r="AF197"/>
  <c r="AF196"/>
  <c r="AF195"/>
  <c r="AF194"/>
  <c r="AH229"/>
  <c r="AH228"/>
  <c r="AH213"/>
  <c r="AH211"/>
  <c r="AH209"/>
  <c r="AH207"/>
  <c r="AH212"/>
  <c r="AH210"/>
  <c r="AH208"/>
  <c r="AH205"/>
  <c r="AH203"/>
  <c r="AH185"/>
  <c r="AH206"/>
  <c r="AH204"/>
  <c r="AH202"/>
  <c r="AH197"/>
  <c r="AH196"/>
  <c r="AH195"/>
  <c r="AH194"/>
  <c r="AJ229"/>
  <c r="AJ228"/>
  <c r="AJ213"/>
  <c r="AJ211"/>
  <c r="AJ209"/>
  <c r="AJ207"/>
  <c r="AJ212"/>
  <c r="AJ210"/>
  <c r="AJ208"/>
  <c r="AJ205"/>
  <c r="AJ203"/>
  <c r="AJ185"/>
  <c r="AJ206"/>
  <c r="AJ204"/>
  <c r="AJ202"/>
  <c r="AJ197"/>
  <c r="AJ196"/>
  <c r="AJ195"/>
  <c r="AJ194"/>
  <c r="AL229"/>
  <c r="AL228"/>
  <c r="AL213"/>
  <c r="AL211"/>
  <c r="AL209"/>
  <c r="AL207"/>
  <c r="AL212"/>
  <c r="AL210"/>
  <c r="AL208"/>
  <c r="AL205"/>
  <c r="AL203"/>
  <c r="AL185"/>
  <c r="AL206"/>
  <c r="AL204"/>
  <c r="AL202"/>
  <c r="AL197"/>
  <c r="AL196"/>
  <c r="AL195"/>
  <c r="AL194"/>
  <c r="F230"/>
  <c r="F183"/>
  <c r="H230"/>
  <c r="H183"/>
  <c r="J230"/>
  <c r="J183"/>
  <c r="J134"/>
  <c r="J133"/>
  <c r="L230"/>
  <c r="L183"/>
  <c r="L134"/>
  <c r="L133"/>
  <c r="N230"/>
  <c r="N183"/>
  <c r="N134"/>
  <c r="N133"/>
  <c r="P230"/>
  <c r="P183"/>
  <c r="P134"/>
  <c r="P133"/>
  <c r="R230"/>
  <c r="R183"/>
  <c r="R134"/>
  <c r="R133"/>
  <c r="T230"/>
  <c r="T183"/>
  <c r="T134"/>
  <c r="T133"/>
  <c r="V230"/>
  <c r="V183"/>
  <c r="V134"/>
  <c r="V133"/>
  <c r="X230"/>
  <c r="X183"/>
  <c r="X134"/>
  <c r="X133"/>
  <c r="Z230"/>
  <c r="Z183"/>
  <c r="Z134"/>
  <c r="Z133"/>
  <c r="AB230"/>
  <c r="AB183"/>
  <c r="AB134"/>
  <c r="AB133"/>
  <c r="AD230"/>
  <c r="AD183"/>
  <c r="AD134"/>
  <c r="AD133"/>
  <c r="AF230"/>
  <c r="AF183"/>
  <c r="AF134"/>
  <c r="AF133"/>
  <c r="AH230"/>
  <c r="AH183"/>
  <c r="AH134"/>
  <c r="AH133"/>
  <c r="AJ230"/>
  <c r="AJ183"/>
  <c r="AJ134"/>
  <c r="AJ133"/>
  <c r="AL230"/>
  <c r="AL183"/>
  <c r="AL134"/>
  <c r="AL133"/>
  <c r="F232"/>
  <c r="F231"/>
  <c r="H232"/>
  <c r="H231"/>
  <c r="J232"/>
  <c r="J231"/>
  <c r="J137"/>
  <c r="J136"/>
  <c r="J135"/>
  <c r="L232"/>
  <c r="L231"/>
  <c r="L137"/>
  <c r="L136"/>
  <c r="L135"/>
  <c r="N232"/>
  <c r="N231"/>
  <c r="N137"/>
  <c r="N136"/>
  <c r="N135"/>
  <c r="P232"/>
  <c r="P231"/>
  <c r="P137"/>
  <c r="P136"/>
  <c r="P135"/>
  <c r="R232"/>
  <c r="R231"/>
  <c r="R137"/>
  <c r="R136"/>
  <c r="R135"/>
  <c r="T232"/>
  <c r="T231"/>
  <c r="T137"/>
  <c r="T136"/>
  <c r="T135"/>
  <c r="V232"/>
  <c r="V231"/>
  <c r="V137"/>
  <c r="V136"/>
  <c r="V135"/>
  <c r="X232"/>
  <c r="X231"/>
  <c r="X137"/>
  <c r="X136"/>
  <c r="X135"/>
  <c r="Z232"/>
  <c r="Z231"/>
  <c r="Z137"/>
  <c r="Z136"/>
  <c r="Z135"/>
  <c r="AB232"/>
  <c r="AB231"/>
  <c r="AB137"/>
  <c r="AB136"/>
  <c r="AB135"/>
  <c r="AD232"/>
  <c r="AD231"/>
  <c r="AD137"/>
  <c r="AD136"/>
  <c r="AD135"/>
  <c r="AF232"/>
  <c r="AF231"/>
  <c r="AF137"/>
  <c r="AF136"/>
  <c r="AF135"/>
  <c r="AH232"/>
  <c r="AH231"/>
  <c r="AH137"/>
  <c r="AH136"/>
  <c r="AH135"/>
  <c r="AJ232"/>
  <c r="AJ231"/>
  <c r="AJ137"/>
  <c r="AJ136"/>
  <c r="AJ135"/>
  <c r="AL232"/>
  <c r="AL231"/>
  <c r="AL137"/>
  <c r="AL136"/>
  <c r="AL135"/>
  <c r="F235"/>
  <c r="F234"/>
  <c r="H235"/>
  <c r="H234"/>
  <c r="J235"/>
  <c r="J234"/>
  <c r="L235"/>
  <c r="L234"/>
  <c r="N235"/>
  <c r="N234"/>
  <c r="P235"/>
  <c r="P234"/>
  <c r="R235"/>
  <c r="R234"/>
  <c r="T235"/>
  <c r="T234"/>
  <c r="V235"/>
  <c r="V234"/>
  <c r="X235"/>
  <c r="X234"/>
  <c r="Z235"/>
  <c r="Z234"/>
  <c r="AB235"/>
  <c r="AB234"/>
  <c r="AD235"/>
  <c r="AD234"/>
  <c r="AF235"/>
  <c r="AF234"/>
  <c r="AH235"/>
  <c r="AH234"/>
  <c r="AJ235"/>
  <c r="AJ234"/>
  <c r="AL235"/>
  <c r="AL234"/>
  <c r="F239"/>
  <c r="F237"/>
  <c r="F236"/>
  <c r="F184"/>
  <c r="H239"/>
  <c r="H237"/>
  <c r="H236"/>
  <c r="H184"/>
  <c r="J239"/>
  <c r="J237"/>
  <c r="J236"/>
  <c r="J184"/>
  <c r="J165"/>
  <c r="J164"/>
  <c r="J162"/>
  <c r="J161"/>
  <c r="J163"/>
  <c r="L239"/>
  <c r="L237"/>
  <c r="L236"/>
  <c r="L184"/>
  <c r="L165"/>
  <c r="L164"/>
  <c r="L163"/>
  <c r="L162"/>
  <c r="L161"/>
  <c r="N239"/>
  <c r="N237"/>
  <c r="N236"/>
  <c r="N184"/>
  <c r="N165"/>
  <c r="N164"/>
  <c r="N163"/>
  <c r="N162"/>
  <c r="N161"/>
  <c r="P239"/>
  <c r="P237"/>
  <c r="P236"/>
  <c r="P184"/>
  <c r="P165"/>
  <c r="P164"/>
  <c r="P163"/>
  <c r="P162"/>
  <c r="P161"/>
  <c r="R239"/>
  <c r="R237"/>
  <c r="R236"/>
  <c r="R184"/>
  <c r="R165"/>
  <c r="R164"/>
  <c r="R163"/>
  <c r="R162"/>
  <c r="R161"/>
  <c r="T239"/>
  <c r="T237"/>
  <c r="T236"/>
  <c r="T184"/>
  <c r="T165"/>
  <c r="T164"/>
  <c r="T163"/>
  <c r="T162"/>
  <c r="T161"/>
  <c r="V239"/>
  <c r="V237"/>
  <c r="V236"/>
  <c r="V184"/>
  <c r="V165"/>
  <c r="V164"/>
  <c r="V163"/>
  <c r="V162"/>
  <c r="V161"/>
  <c r="X239"/>
  <c r="X237"/>
  <c r="X236"/>
  <c r="X184"/>
  <c r="X165"/>
  <c r="X164"/>
  <c r="X163"/>
  <c r="X162"/>
  <c r="X161"/>
  <c r="Z239"/>
  <c r="Z237"/>
  <c r="Z236"/>
  <c r="Z184"/>
  <c r="Z165"/>
  <c r="Z164"/>
  <c r="Z163"/>
  <c r="Z162"/>
  <c r="Z161"/>
  <c r="AB239"/>
  <c r="AB237"/>
  <c r="AB236"/>
  <c r="AB184"/>
  <c r="AB165"/>
  <c r="AB164"/>
  <c r="AB163"/>
  <c r="AB162"/>
  <c r="AB161"/>
  <c r="AD239"/>
  <c r="AD237"/>
  <c r="AD236"/>
  <c r="AD184"/>
  <c r="AD165"/>
  <c r="AD164"/>
  <c r="AD163"/>
  <c r="AD162"/>
  <c r="AD161"/>
  <c r="AF239"/>
  <c r="AF237"/>
  <c r="AF236"/>
  <c r="AF184"/>
  <c r="AF165"/>
  <c r="AF164"/>
  <c r="AF163"/>
  <c r="AF162"/>
  <c r="AF161"/>
  <c r="AH239"/>
  <c r="AH237"/>
  <c r="AH236"/>
  <c r="AH184"/>
  <c r="AH165"/>
  <c r="AH164"/>
  <c r="AH163"/>
  <c r="AH162"/>
  <c r="AH161"/>
  <c r="AJ239"/>
  <c r="AJ237"/>
  <c r="AJ236"/>
  <c r="AJ184"/>
  <c r="AJ165"/>
  <c r="AJ164"/>
  <c r="AJ163"/>
  <c r="AJ161"/>
  <c r="AJ162"/>
  <c r="AL239"/>
  <c r="AL237"/>
  <c r="AL236"/>
  <c r="AL184"/>
  <c r="AL165"/>
  <c r="AL164"/>
  <c r="AL163"/>
  <c r="AL162"/>
  <c r="AL161"/>
  <c r="J158"/>
  <c r="J157"/>
  <c r="L158"/>
  <c r="L157"/>
  <c r="N158"/>
  <c r="N157"/>
  <c r="P158"/>
  <c r="P157"/>
  <c r="R158"/>
  <c r="R157"/>
  <c r="T158"/>
  <c r="T157"/>
  <c r="V158"/>
  <c r="V157"/>
  <c r="X158"/>
  <c r="X157"/>
  <c r="Z158"/>
  <c r="Z157"/>
  <c r="AB158"/>
  <c r="AB157"/>
  <c r="AD158"/>
  <c r="AD157"/>
  <c r="AF158"/>
  <c r="AF157"/>
  <c r="AH158"/>
  <c r="AH157"/>
  <c r="AJ158"/>
  <c r="AJ157"/>
  <c r="AL158"/>
  <c r="AL157"/>
  <c r="J180"/>
  <c r="J159"/>
  <c r="L180"/>
  <c r="L159"/>
  <c r="N180"/>
  <c r="N159"/>
  <c r="P180"/>
  <c r="P159"/>
  <c r="R180"/>
  <c r="R159"/>
  <c r="T180"/>
  <c r="T159"/>
  <c r="V180"/>
  <c r="V159"/>
  <c r="X180"/>
  <c r="X159"/>
  <c r="Z180"/>
  <c r="Z159"/>
  <c r="AB180"/>
  <c r="AB159"/>
  <c r="AD180"/>
  <c r="AD159"/>
  <c r="AF180"/>
  <c r="AF159"/>
  <c r="AH180"/>
  <c r="AH159"/>
  <c r="AJ180"/>
  <c r="AJ159"/>
  <c r="AL180"/>
  <c r="AL159"/>
  <c r="J169"/>
  <c r="J168"/>
  <c r="J167"/>
  <c r="J166"/>
  <c r="L169"/>
  <c r="L168"/>
  <c r="L167"/>
  <c r="L166"/>
  <c r="N169"/>
  <c r="N168"/>
  <c r="N167"/>
  <c r="N166"/>
  <c r="P169"/>
  <c r="P168"/>
  <c r="P167"/>
  <c r="P166"/>
  <c r="R169"/>
  <c r="R168"/>
  <c r="R167"/>
  <c r="R166"/>
  <c r="T169"/>
  <c r="T168"/>
  <c r="T167"/>
  <c r="T166"/>
  <c r="V169"/>
  <c r="V168"/>
  <c r="V167"/>
  <c r="V166"/>
  <c r="X169"/>
  <c r="X168"/>
  <c r="X167"/>
  <c r="X166"/>
  <c r="Z169"/>
  <c r="Z168"/>
  <c r="Z167"/>
  <c r="Z166"/>
  <c r="AB169"/>
  <c r="AB168"/>
  <c r="AB167"/>
  <c r="AB166"/>
  <c r="AD169"/>
  <c r="AD168"/>
  <c r="AD167"/>
  <c r="AD166"/>
  <c r="AF169"/>
  <c r="AF168"/>
  <c r="AF167"/>
  <c r="AF166"/>
  <c r="AH169"/>
  <c r="AH168"/>
  <c r="AH167"/>
  <c r="AH166"/>
  <c r="AJ169"/>
  <c r="AJ168"/>
  <c r="AJ167"/>
  <c r="AJ166"/>
  <c r="AL169"/>
  <c r="AL168"/>
  <c r="AL167"/>
  <c r="AL166"/>
  <c r="J138"/>
  <c r="J130"/>
  <c r="J129"/>
  <c r="L138"/>
  <c r="L130"/>
  <c r="L129"/>
  <c r="N138"/>
  <c r="N130"/>
  <c r="N129"/>
  <c r="P138"/>
  <c r="P130"/>
  <c r="P129"/>
  <c r="R138"/>
  <c r="R130"/>
  <c r="R129"/>
  <c r="T138"/>
  <c r="T130"/>
  <c r="T129"/>
  <c r="V138"/>
  <c r="V130"/>
  <c r="V129"/>
  <c r="X138"/>
  <c r="X130"/>
  <c r="X129"/>
  <c r="Z138"/>
  <c r="Z130"/>
  <c r="Z129"/>
  <c r="AB138"/>
  <c r="AB130"/>
  <c r="AB129"/>
  <c r="AD138"/>
  <c r="AD130"/>
  <c r="AD129"/>
  <c r="AF138"/>
  <c r="AF130"/>
  <c r="AF129"/>
  <c r="AH138"/>
  <c r="AH130"/>
  <c r="AH129"/>
  <c r="AJ138"/>
  <c r="AJ130"/>
  <c r="AJ129"/>
  <c r="AL138"/>
  <c r="AL130"/>
  <c r="AL129"/>
  <c r="J176"/>
  <c r="J175"/>
  <c r="J174"/>
  <c r="L176"/>
  <c r="L175"/>
  <c r="L174"/>
  <c r="N176"/>
  <c r="N175"/>
  <c r="N174"/>
  <c r="P176"/>
  <c r="P175"/>
  <c r="P174"/>
  <c r="R176"/>
  <c r="R175"/>
  <c r="R174"/>
  <c r="T176"/>
  <c r="T175"/>
  <c r="T174"/>
  <c r="V176"/>
  <c r="V175"/>
  <c r="V174"/>
  <c r="X176"/>
  <c r="X175"/>
  <c r="X174"/>
  <c r="Z176"/>
  <c r="Z175"/>
  <c r="Z174"/>
  <c r="AB176"/>
  <c r="AB175"/>
  <c r="AB174"/>
  <c r="AD176"/>
  <c r="AD175"/>
  <c r="AD174"/>
  <c r="AF176"/>
  <c r="AF175"/>
  <c r="AF174"/>
  <c r="AH176"/>
  <c r="AH175"/>
  <c r="AH174"/>
  <c r="AJ176"/>
  <c r="AJ175"/>
  <c r="AJ174"/>
  <c r="AL176"/>
  <c r="AL175"/>
  <c r="AL174"/>
  <c r="J178"/>
  <c r="J177"/>
  <c r="K186"/>
  <c r="L178"/>
  <c r="L177"/>
  <c r="M186"/>
  <c r="N178"/>
  <c r="N177"/>
  <c r="O186"/>
  <c r="P178"/>
  <c r="P177"/>
  <c r="Q186"/>
  <c r="R178"/>
  <c r="R177"/>
  <c r="S186"/>
  <c r="T178"/>
  <c r="T177"/>
  <c r="U186"/>
  <c r="V178"/>
  <c r="V177"/>
  <c r="W186"/>
  <c r="X178"/>
  <c r="X177"/>
  <c r="Y186"/>
  <c r="Z178"/>
  <c r="Z177"/>
  <c r="AA186"/>
  <c r="AB178"/>
  <c r="AB177"/>
  <c r="AC186"/>
  <c r="AD178"/>
  <c r="AD177"/>
  <c r="AE186"/>
  <c r="AF178"/>
  <c r="AF177"/>
  <c r="AG186"/>
  <c r="AH178"/>
  <c r="AH177"/>
  <c r="AI186"/>
  <c r="AJ178"/>
  <c r="AJ177"/>
  <c r="AK186"/>
  <c r="AL178"/>
  <c r="AL177"/>
  <c r="J140"/>
  <c r="J139"/>
  <c r="L140"/>
  <c r="L139"/>
  <c r="N140"/>
  <c r="N139"/>
  <c r="P140"/>
  <c r="P139"/>
  <c r="R140"/>
  <c r="R139"/>
  <c r="T140"/>
  <c r="T139"/>
  <c r="V140"/>
  <c r="V139"/>
  <c r="X140"/>
  <c r="X139"/>
  <c r="Z140"/>
  <c r="Z139"/>
  <c r="AB140"/>
  <c r="AB139"/>
  <c r="AD140"/>
  <c r="AD139"/>
  <c r="AF140"/>
  <c r="AF139"/>
  <c r="AH140"/>
  <c r="AH139"/>
  <c r="AJ140"/>
  <c r="AJ139"/>
  <c r="AL140"/>
  <c r="AL139"/>
  <c r="J146"/>
  <c r="J145"/>
  <c r="L146"/>
  <c r="L145"/>
  <c r="N146"/>
  <c r="N145"/>
  <c r="P146"/>
  <c r="P145"/>
  <c r="R146"/>
  <c r="R145"/>
  <c r="T146"/>
  <c r="T145"/>
  <c r="V146"/>
  <c r="V145"/>
  <c r="X146"/>
  <c r="X145"/>
  <c r="Z146"/>
  <c r="Z145"/>
  <c r="AB146"/>
  <c r="AB145"/>
  <c r="AD146"/>
  <c r="AD145"/>
  <c r="AF146"/>
  <c r="AF145"/>
  <c r="AH146"/>
  <c r="AH145"/>
  <c r="AJ146"/>
  <c r="AJ145"/>
  <c r="AL146"/>
  <c r="AL145"/>
  <c r="J148"/>
  <c r="J147"/>
  <c r="L148"/>
  <c r="L147"/>
  <c r="N148"/>
  <c r="N147"/>
  <c r="P148"/>
  <c r="P147"/>
  <c r="R148"/>
  <c r="R147"/>
  <c r="T148"/>
  <c r="T147"/>
  <c r="V148"/>
  <c r="V147"/>
  <c r="X148"/>
  <c r="X147"/>
  <c r="Z148"/>
  <c r="Z147"/>
  <c r="AB148"/>
  <c r="AB147"/>
  <c r="AD148"/>
  <c r="AD147"/>
  <c r="AF148"/>
  <c r="AF147"/>
  <c r="AH148"/>
  <c r="AH147"/>
  <c r="AJ148"/>
  <c r="AJ147"/>
  <c r="AL148"/>
  <c r="AL147"/>
  <c r="K187"/>
  <c r="J153"/>
  <c r="M187"/>
  <c r="L153"/>
  <c r="O187"/>
  <c r="N153"/>
  <c r="Q187"/>
  <c r="P153"/>
  <c r="S187"/>
  <c r="R153"/>
  <c r="U187"/>
  <c r="T153"/>
  <c r="W187"/>
  <c r="V153"/>
  <c r="Y187"/>
  <c r="X153"/>
  <c r="AA187"/>
  <c r="Z153"/>
  <c r="AC187"/>
  <c r="AB153"/>
  <c r="AE187"/>
  <c r="AD153"/>
  <c r="AG187"/>
  <c r="AF153"/>
  <c r="AG128"/>
  <c r="AI187"/>
  <c r="AH153"/>
  <c r="AI128"/>
  <c r="AK187"/>
  <c r="AJ153"/>
  <c r="AK128"/>
  <c r="H7"/>
  <c r="J7"/>
  <c r="H186"/>
  <c r="I186"/>
  <c r="J59"/>
  <c r="L59"/>
  <c r="N59"/>
  <c r="P59"/>
  <c r="R59"/>
  <c r="T59"/>
  <c r="V59"/>
  <c r="X59"/>
  <c r="Z59"/>
  <c r="AB59"/>
  <c r="AD59"/>
  <c r="AF59"/>
  <c r="AH59"/>
  <c r="AJ59"/>
  <c r="AL59"/>
  <c r="J154"/>
  <c r="L154"/>
  <c r="N154"/>
  <c r="P154"/>
  <c r="R154"/>
  <c r="T154"/>
  <c r="V154"/>
  <c r="X154"/>
  <c r="Z154"/>
  <c r="AB154"/>
  <c r="AD154"/>
  <c r="AF154"/>
  <c r="AH154"/>
  <c r="AJ154"/>
  <c r="AL154"/>
  <c r="J123"/>
  <c r="L123"/>
  <c r="N123"/>
  <c r="P123"/>
  <c r="R123"/>
  <c r="T123"/>
  <c r="V123"/>
  <c r="X123"/>
  <c r="Z123"/>
  <c r="AB123"/>
  <c r="AD123"/>
  <c r="AF123"/>
  <c r="AH123"/>
  <c r="AJ123"/>
  <c r="AL123"/>
  <c r="J125"/>
  <c r="L125"/>
  <c r="N125"/>
  <c r="P125"/>
  <c r="R125"/>
  <c r="T125"/>
  <c r="V125"/>
  <c r="X125"/>
  <c r="Z125"/>
  <c r="AB125"/>
  <c r="AD125"/>
  <c r="AF125"/>
  <c r="AH125"/>
  <c r="AJ125"/>
  <c r="AL125"/>
  <c r="E229"/>
  <c r="F203" s="1"/>
  <c r="E228"/>
  <c r="F202" s="1"/>
  <c r="E185"/>
  <c r="G229"/>
  <c r="H203" s="1"/>
  <c r="G228"/>
  <c r="G212"/>
  <c r="G207"/>
  <c r="G203"/>
  <c r="G185"/>
  <c r="I229"/>
  <c r="I203" s="1"/>
  <c r="I228"/>
  <c r="J202" s="1"/>
  <c r="I212"/>
  <c r="I202"/>
  <c r="I197"/>
  <c r="I196"/>
  <c r="I195"/>
  <c r="I194"/>
  <c r="I207"/>
  <c r="I185"/>
  <c r="K229"/>
  <c r="L203" s="1"/>
  <c r="K228"/>
  <c r="K212"/>
  <c r="K197"/>
  <c r="K196"/>
  <c r="K195"/>
  <c r="K194"/>
  <c r="K207"/>
  <c r="K203"/>
  <c r="K185"/>
  <c r="M229"/>
  <c r="M203" s="1"/>
  <c r="M228"/>
  <c r="N202" s="1"/>
  <c r="M212"/>
  <c r="M202"/>
  <c r="M197"/>
  <c r="M196"/>
  <c r="M195"/>
  <c r="M194"/>
  <c r="M207"/>
  <c r="M185"/>
  <c r="O229"/>
  <c r="P203" s="1"/>
  <c r="O228"/>
  <c r="O212"/>
  <c r="O197"/>
  <c r="O196"/>
  <c r="O195"/>
  <c r="O194"/>
  <c r="O207"/>
  <c r="O203"/>
  <c r="O185"/>
  <c r="Q229"/>
  <c r="Q203" s="1"/>
  <c r="Q228"/>
  <c r="R202" s="1"/>
  <c r="Q212"/>
  <c r="Q202"/>
  <c r="Q197"/>
  <c r="Q196"/>
  <c r="Q195"/>
  <c r="Q194"/>
  <c r="Q207"/>
  <c r="Q185"/>
  <c r="S229"/>
  <c r="S228"/>
  <c r="S212"/>
  <c r="S210"/>
  <c r="S208"/>
  <c r="S213"/>
  <c r="S211"/>
  <c r="S209"/>
  <c r="S207"/>
  <c r="S206"/>
  <c r="S204"/>
  <c r="S202"/>
  <c r="S197"/>
  <c r="S196"/>
  <c r="S195"/>
  <c r="S194"/>
  <c r="S205"/>
  <c r="S203"/>
  <c r="S185"/>
  <c r="U229"/>
  <c r="U228"/>
  <c r="U212"/>
  <c r="U210"/>
  <c r="U208"/>
  <c r="U213"/>
  <c r="U211"/>
  <c r="U209"/>
  <c r="U206"/>
  <c r="U204"/>
  <c r="U202"/>
  <c r="U197"/>
  <c r="U196"/>
  <c r="U195"/>
  <c r="U194"/>
  <c r="U207"/>
  <c r="U205"/>
  <c r="U203"/>
  <c r="U185"/>
  <c r="W229"/>
  <c r="W228"/>
  <c r="W212"/>
  <c r="W210"/>
  <c r="W208"/>
  <c r="W213"/>
  <c r="W211"/>
  <c r="W209"/>
  <c r="W207"/>
  <c r="W206"/>
  <c r="W204"/>
  <c r="W202"/>
  <c r="W197"/>
  <c r="W196"/>
  <c r="W195"/>
  <c r="W194"/>
  <c r="W205"/>
  <c r="W203"/>
  <c r="W185"/>
  <c r="Y229"/>
  <c r="Y228"/>
  <c r="Y212"/>
  <c r="Y210"/>
  <c r="Y208"/>
  <c r="Y213"/>
  <c r="Y211"/>
  <c r="Y209"/>
  <c r="Y206"/>
  <c r="Y204"/>
  <c r="Y202"/>
  <c r="Y197"/>
  <c r="Y196"/>
  <c r="Y195"/>
  <c r="Y194"/>
  <c r="Y207"/>
  <c r="Y205"/>
  <c r="Y203"/>
  <c r="Y185"/>
  <c r="AA229"/>
  <c r="AA228"/>
  <c r="AA212"/>
  <c r="AA210"/>
  <c r="AA208"/>
  <c r="AA213"/>
  <c r="AA211"/>
  <c r="AA209"/>
  <c r="AA207"/>
  <c r="AA206"/>
  <c r="AA204"/>
  <c r="AA202"/>
  <c r="AA197"/>
  <c r="AA196"/>
  <c r="AA195"/>
  <c r="AA194"/>
  <c r="AA205"/>
  <c r="AA203"/>
  <c r="AA185"/>
  <c r="AC229"/>
  <c r="AC228"/>
  <c r="AC212"/>
  <c r="AC210"/>
  <c r="AC208"/>
  <c r="AC213"/>
  <c r="AC211"/>
  <c r="AC209"/>
  <c r="AC206"/>
  <c r="AC204"/>
  <c r="AC202"/>
  <c r="AC197"/>
  <c r="AC196"/>
  <c r="AC195"/>
  <c r="AC194"/>
  <c r="AC207"/>
  <c r="AC205"/>
  <c r="AC203"/>
  <c r="AC185"/>
  <c r="AE229"/>
  <c r="AE228"/>
  <c r="AE212"/>
  <c r="AE210"/>
  <c r="AE208"/>
  <c r="AE213"/>
  <c r="AE211"/>
  <c r="AE209"/>
  <c r="AE207"/>
  <c r="AE206"/>
  <c r="AE204"/>
  <c r="AE202"/>
  <c r="AE197"/>
  <c r="AE196"/>
  <c r="AE195"/>
  <c r="AE194"/>
  <c r="AE205"/>
  <c r="AE203"/>
  <c r="AE185"/>
  <c r="AG229"/>
  <c r="AG228"/>
  <c r="AG212"/>
  <c r="AG210"/>
  <c r="AG208"/>
  <c r="AG213"/>
  <c r="AG211"/>
  <c r="AG209"/>
  <c r="AG206"/>
  <c r="AG204"/>
  <c r="AG202"/>
  <c r="AG197"/>
  <c r="AG196"/>
  <c r="AG195"/>
  <c r="AG194"/>
  <c r="AG207"/>
  <c r="AG205"/>
  <c r="AG203"/>
  <c r="AG185"/>
  <c r="AI229"/>
  <c r="AI228"/>
  <c r="AI212"/>
  <c r="AI210"/>
  <c r="AI208"/>
  <c r="AI213"/>
  <c r="AI211"/>
  <c r="AI209"/>
  <c r="AI207"/>
  <c r="AI206"/>
  <c r="AI204"/>
  <c r="AI202"/>
  <c r="AI197"/>
  <c r="AI196"/>
  <c r="AI195"/>
  <c r="AI194"/>
  <c r="AI205"/>
  <c r="AI203"/>
  <c r="AI185"/>
  <c r="AK229"/>
  <c r="AK228"/>
  <c r="AK212"/>
  <c r="AK210"/>
  <c r="AK208"/>
  <c r="AK213"/>
  <c r="AK211"/>
  <c r="AK209"/>
  <c r="AK206"/>
  <c r="AK204"/>
  <c r="AK202"/>
  <c r="AK197"/>
  <c r="AK196"/>
  <c r="AK195"/>
  <c r="AK194"/>
  <c r="AK207"/>
  <c r="AK205"/>
  <c r="AK203"/>
  <c r="AK185"/>
  <c r="E230"/>
  <c r="F204" s="1"/>
  <c r="E183"/>
  <c r="G230"/>
  <c r="H204" s="1"/>
  <c r="G183"/>
  <c r="I230"/>
  <c r="J204" s="1"/>
  <c r="I183"/>
  <c r="I134"/>
  <c r="I133"/>
  <c r="K230"/>
  <c r="L204" s="1"/>
  <c r="K183"/>
  <c r="K134"/>
  <c r="K133"/>
  <c r="M230"/>
  <c r="N204" s="1"/>
  <c r="M183"/>
  <c r="M134"/>
  <c r="M133"/>
  <c r="O230"/>
  <c r="P204" s="1"/>
  <c r="O183"/>
  <c r="O134"/>
  <c r="O133"/>
  <c r="Q230"/>
  <c r="R204" s="1"/>
  <c r="Q183"/>
  <c r="Q134"/>
  <c r="Q133"/>
  <c r="S230"/>
  <c r="S183"/>
  <c r="S134"/>
  <c r="S133"/>
  <c r="U230"/>
  <c r="U183"/>
  <c r="U134"/>
  <c r="U133"/>
  <c r="W230"/>
  <c r="W183"/>
  <c r="W134"/>
  <c r="W133"/>
  <c r="Y230"/>
  <c r="Y183"/>
  <c r="Y134"/>
  <c r="Y133"/>
  <c r="AA230"/>
  <c r="AA183"/>
  <c r="AA134"/>
  <c r="AA133"/>
  <c r="AC230"/>
  <c r="AC183"/>
  <c r="AC134"/>
  <c r="AC133"/>
  <c r="AE230"/>
  <c r="AE183"/>
  <c r="AE134"/>
  <c r="AE133"/>
  <c r="AG230"/>
  <c r="AG183"/>
  <c r="AG134"/>
  <c r="AG133"/>
  <c r="AI230"/>
  <c r="AI183"/>
  <c r="AI134"/>
  <c r="AI133"/>
  <c r="AK230"/>
  <c r="AK183"/>
  <c r="AK134"/>
  <c r="AK133"/>
  <c r="E232"/>
  <c r="F206" s="1"/>
  <c r="E231"/>
  <c r="F205" s="1"/>
  <c r="G232"/>
  <c r="H206" s="1"/>
  <c r="G231"/>
  <c r="H205" s="1"/>
  <c r="I232"/>
  <c r="J206" s="1"/>
  <c r="I231"/>
  <c r="J205" s="1"/>
  <c r="I137"/>
  <c r="I136"/>
  <c r="I135"/>
  <c r="K232"/>
  <c r="L206" s="1"/>
  <c r="K231"/>
  <c r="L205" s="1"/>
  <c r="K137"/>
  <c r="K136"/>
  <c r="K135"/>
  <c r="M232"/>
  <c r="N206" s="1"/>
  <c r="M231"/>
  <c r="N205" s="1"/>
  <c r="M137"/>
  <c r="M136"/>
  <c r="M135"/>
  <c r="O232"/>
  <c r="P206" s="1"/>
  <c r="O231"/>
  <c r="P205" s="1"/>
  <c r="O137"/>
  <c r="O136"/>
  <c r="O135"/>
  <c r="Q232"/>
  <c r="R206" s="1"/>
  <c r="Q231"/>
  <c r="R205" s="1"/>
  <c r="Q137"/>
  <c r="Q136"/>
  <c r="Q135"/>
  <c r="S232"/>
  <c r="S231"/>
  <c r="S137"/>
  <c r="S136"/>
  <c r="S135"/>
  <c r="U232"/>
  <c r="U231"/>
  <c r="U137"/>
  <c r="U136"/>
  <c r="U135"/>
  <c r="W232"/>
  <c r="W231"/>
  <c r="W137"/>
  <c r="W136"/>
  <c r="W135"/>
  <c r="Y232"/>
  <c r="Y231"/>
  <c r="Y137"/>
  <c r="Y136"/>
  <c r="Y135"/>
  <c r="AA232"/>
  <c r="AA231"/>
  <c r="AA137"/>
  <c r="AA136"/>
  <c r="AA135"/>
  <c r="AC232"/>
  <c r="AC231"/>
  <c r="AC137"/>
  <c r="AC136"/>
  <c r="AC135"/>
  <c r="AE232"/>
  <c r="AE231"/>
  <c r="AE137"/>
  <c r="AE136"/>
  <c r="AE135"/>
  <c r="AG232"/>
  <c r="AG231"/>
  <c r="AG137"/>
  <c r="AG136"/>
  <c r="AG135"/>
  <c r="AI232"/>
  <c r="AI231"/>
  <c r="AI137"/>
  <c r="AI136"/>
  <c r="AI135"/>
  <c r="AK232"/>
  <c r="AK231"/>
  <c r="AK137"/>
  <c r="AK136"/>
  <c r="AK135"/>
  <c r="E235"/>
  <c r="F209" s="1"/>
  <c r="E234"/>
  <c r="F208" s="1"/>
  <c r="G235"/>
  <c r="H209" s="1"/>
  <c r="G234"/>
  <c r="H208" s="1"/>
  <c r="I235"/>
  <c r="I209" s="1"/>
  <c r="I234"/>
  <c r="I208" s="1"/>
  <c r="K235"/>
  <c r="L209" s="1"/>
  <c r="K234"/>
  <c r="L208" s="1"/>
  <c r="M235"/>
  <c r="M209" s="1"/>
  <c r="M234"/>
  <c r="M208" s="1"/>
  <c r="O235"/>
  <c r="P209" s="1"/>
  <c r="O234"/>
  <c r="P208" s="1"/>
  <c r="Q235"/>
  <c r="Q209" s="1"/>
  <c r="Q234"/>
  <c r="R208" s="1"/>
  <c r="S235"/>
  <c r="S234"/>
  <c r="U235"/>
  <c r="U234"/>
  <c r="W235"/>
  <c r="W234"/>
  <c r="Y235"/>
  <c r="Y234"/>
  <c r="AA235"/>
  <c r="AA234"/>
  <c r="AC235"/>
  <c r="AC234"/>
  <c r="AE235"/>
  <c r="AE234"/>
  <c r="AG235"/>
  <c r="AG234"/>
  <c r="AI235"/>
  <c r="AI234"/>
  <c r="AK235"/>
  <c r="AK234"/>
  <c r="E239"/>
  <c r="F213" s="1"/>
  <c r="E237"/>
  <c r="F211" s="1"/>
  <c r="E236"/>
  <c r="F210" s="1"/>
  <c r="E184"/>
  <c r="G239"/>
  <c r="H213" s="1"/>
  <c r="G237"/>
  <c r="G211" s="1"/>
  <c r="G236"/>
  <c r="H210" s="1"/>
  <c r="G184"/>
  <c r="I239"/>
  <c r="I213" s="1"/>
  <c r="I237"/>
  <c r="J211" s="1"/>
  <c r="I236"/>
  <c r="I210" s="1"/>
  <c r="I184"/>
  <c r="I165"/>
  <c r="I164"/>
  <c r="I163"/>
  <c r="I162"/>
  <c r="I161"/>
  <c r="K239"/>
  <c r="L213" s="1"/>
  <c r="K237"/>
  <c r="K211" s="1"/>
  <c r="K236"/>
  <c r="L210" s="1"/>
  <c r="K184"/>
  <c r="K165"/>
  <c r="K164"/>
  <c r="K163"/>
  <c r="K162"/>
  <c r="K161"/>
  <c r="M239"/>
  <c r="M213" s="1"/>
  <c r="M237"/>
  <c r="N211" s="1"/>
  <c r="M236"/>
  <c r="M210" s="1"/>
  <c r="M184"/>
  <c r="M165"/>
  <c r="M164"/>
  <c r="M163"/>
  <c r="M162"/>
  <c r="M161"/>
  <c r="O239"/>
  <c r="P213" s="1"/>
  <c r="O237"/>
  <c r="O211" s="1"/>
  <c r="O236"/>
  <c r="P210" s="1"/>
  <c r="O184"/>
  <c r="O165"/>
  <c r="O164"/>
  <c r="O163"/>
  <c r="O162"/>
  <c r="O161"/>
  <c r="Q239"/>
  <c r="Q213" s="1"/>
  <c r="Q237"/>
  <c r="R211" s="1"/>
  <c r="Q236"/>
  <c r="R210" s="1"/>
  <c r="Q184"/>
  <c r="Q165"/>
  <c r="Q164"/>
  <c r="Q163"/>
  <c r="Q162"/>
  <c r="Q161"/>
  <c r="S239"/>
  <c r="S237"/>
  <c r="S236"/>
  <c r="S184"/>
  <c r="S165"/>
  <c r="S164"/>
  <c r="S163"/>
  <c r="S162"/>
  <c r="S161"/>
  <c r="U239"/>
  <c r="U237"/>
  <c r="U236"/>
  <c r="U184"/>
  <c r="U165"/>
  <c r="U164"/>
  <c r="U163"/>
  <c r="U162"/>
  <c r="U161"/>
  <c r="W239"/>
  <c r="W237"/>
  <c r="W236"/>
  <c r="W184"/>
  <c r="W165"/>
  <c r="W164"/>
  <c r="W163"/>
  <c r="W162"/>
  <c r="W161"/>
  <c r="Y239"/>
  <c r="Y237"/>
  <c r="Y236"/>
  <c r="Y184"/>
  <c r="Y165"/>
  <c r="Y164"/>
  <c r="Y163"/>
  <c r="Y162"/>
  <c r="Y161"/>
  <c r="AA239"/>
  <c r="AA237"/>
  <c r="AA236"/>
  <c r="AA184"/>
  <c r="AA165"/>
  <c r="AA164"/>
  <c r="AA163"/>
  <c r="AA162"/>
  <c r="AA161"/>
  <c r="AC239"/>
  <c r="AC237"/>
  <c r="AC236"/>
  <c r="AC184"/>
  <c r="AC165"/>
  <c r="AC164"/>
  <c r="AC163"/>
  <c r="AC162"/>
  <c r="AC161"/>
  <c r="AE239"/>
  <c r="AE237"/>
  <c r="AE236"/>
  <c r="AE184"/>
  <c r="AE165"/>
  <c r="AE164"/>
  <c r="AE163"/>
  <c r="AE162"/>
  <c r="AE161"/>
  <c r="AG239"/>
  <c r="AG237"/>
  <c r="AG236"/>
  <c r="AG184"/>
  <c r="AG165"/>
  <c r="AG164"/>
  <c r="AG163"/>
  <c r="AG162"/>
  <c r="AG161"/>
  <c r="AI239"/>
  <c r="AI237"/>
  <c r="AI236"/>
  <c r="AI184"/>
  <c r="AI165"/>
  <c r="AI164"/>
  <c r="AI163"/>
  <c r="AI162"/>
  <c r="AI161"/>
  <c r="AK239"/>
  <c r="AK237"/>
  <c r="AK236"/>
  <c r="AK184"/>
  <c r="AK165"/>
  <c r="AK164"/>
  <c r="AK163"/>
  <c r="AK162"/>
  <c r="AK161"/>
  <c r="I158"/>
  <c r="I157"/>
  <c r="K158"/>
  <c r="K157"/>
  <c r="M158"/>
  <c r="M157"/>
  <c r="O158"/>
  <c r="O157"/>
  <c r="Q158"/>
  <c r="Q157"/>
  <c r="S158"/>
  <c r="S157"/>
  <c r="U158"/>
  <c r="U157"/>
  <c r="W158"/>
  <c r="W157"/>
  <c r="Y158"/>
  <c r="Y157"/>
  <c r="AA158"/>
  <c r="AA157"/>
  <c r="AC158"/>
  <c r="AC157"/>
  <c r="AE158"/>
  <c r="AE157"/>
  <c r="AG158"/>
  <c r="AG157"/>
  <c r="AI158"/>
  <c r="AI157"/>
  <c r="AK158"/>
  <c r="AK157"/>
  <c r="I180"/>
  <c r="I159"/>
  <c r="K180"/>
  <c r="K159"/>
  <c r="M180"/>
  <c r="M159"/>
  <c r="O180"/>
  <c r="O159"/>
  <c r="Q180"/>
  <c r="Q159"/>
  <c r="S180"/>
  <c r="S159"/>
  <c r="U180"/>
  <c r="U159"/>
  <c r="W180"/>
  <c r="W159"/>
  <c r="Y180"/>
  <c r="Y159"/>
  <c r="AA180"/>
  <c r="AA159"/>
  <c r="AC180"/>
  <c r="AC159"/>
  <c r="AE180"/>
  <c r="AE159"/>
  <c r="AG180"/>
  <c r="AG159"/>
  <c r="AI180"/>
  <c r="AI159"/>
  <c r="AK180"/>
  <c r="AK159"/>
  <c r="I169"/>
  <c r="I168"/>
  <c r="I167"/>
  <c r="I166"/>
  <c r="K169"/>
  <c r="K168"/>
  <c r="K167"/>
  <c r="K166"/>
  <c r="M169"/>
  <c r="M168"/>
  <c r="M167"/>
  <c r="M166"/>
  <c r="O169"/>
  <c r="O168"/>
  <c r="O167"/>
  <c r="O166"/>
  <c r="Q169"/>
  <c r="Q168"/>
  <c r="Q167"/>
  <c r="Q166"/>
  <c r="S169"/>
  <c r="S168"/>
  <c r="S167"/>
  <c r="S166"/>
  <c r="U169"/>
  <c r="U168"/>
  <c r="U167"/>
  <c r="U166"/>
  <c r="W169"/>
  <c r="W168"/>
  <c r="W167"/>
  <c r="W166"/>
  <c r="Y169"/>
  <c r="Y168"/>
  <c r="Y167"/>
  <c r="Y166"/>
  <c r="AA169"/>
  <c r="AA168"/>
  <c r="AA167"/>
  <c r="AA166"/>
  <c r="AC169"/>
  <c r="AC168"/>
  <c r="AC167"/>
  <c r="AC166"/>
  <c r="AE169"/>
  <c r="AE168"/>
  <c r="AE167"/>
  <c r="AE166"/>
  <c r="AG169"/>
  <c r="AG168"/>
  <c r="AG167"/>
  <c r="AG166"/>
  <c r="AI169"/>
  <c r="AI168"/>
  <c r="AI167"/>
  <c r="AI166"/>
  <c r="AK169"/>
  <c r="AK168"/>
  <c r="AK167"/>
  <c r="AK166"/>
  <c r="I138"/>
  <c r="I130"/>
  <c r="I129"/>
  <c r="K138"/>
  <c r="K130"/>
  <c r="K129"/>
  <c r="M138"/>
  <c r="M130"/>
  <c r="M129"/>
  <c r="O138"/>
  <c r="O130"/>
  <c r="O129"/>
  <c r="Q138"/>
  <c r="Q130"/>
  <c r="Q129"/>
  <c r="S138"/>
  <c r="S130"/>
  <c r="S129"/>
  <c r="U138"/>
  <c r="U130"/>
  <c r="U129"/>
  <c r="W138"/>
  <c r="W130"/>
  <c r="W129"/>
  <c r="Y138"/>
  <c r="Y130"/>
  <c r="Y129"/>
  <c r="AA138"/>
  <c r="AA130"/>
  <c r="AA129"/>
  <c r="AC138"/>
  <c r="AC130"/>
  <c r="AC129"/>
  <c r="AE138"/>
  <c r="AE130"/>
  <c r="AE129"/>
  <c r="AG138"/>
  <c r="AG130"/>
  <c r="AG129"/>
  <c r="AI138"/>
  <c r="AI130"/>
  <c r="AI129"/>
  <c r="AK138"/>
  <c r="AK130"/>
  <c r="AK129"/>
  <c r="I176"/>
  <c r="I175"/>
  <c r="I174"/>
  <c r="K176"/>
  <c r="K175"/>
  <c r="K174"/>
  <c r="M176"/>
  <c r="M175"/>
  <c r="M174"/>
  <c r="O176"/>
  <c r="O175"/>
  <c r="O174"/>
  <c r="Q176"/>
  <c r="Q175"/>
  <c r="Q174"/>
  <c r="S176"/>
  <c r="S175"/>
  <c r="S174"/>
  <c r="U176"/>
  <c r="U175"/>
  <c r="U174"/>
  <c r="W176"/>
  <c r="W175"/>
  <c r="W174"/>
  <c r="Y176"/>
  <c r="Y175"/>
  <c r="Y174"/>
  <c r="AA176"/>
  <c r="AA175"/>
  <c r="AA174"/>
  <c r="AC176"/>
  <c r="AC175"/>
  <c r="AC174"/>
  <c r="AE176"/>
  <c r="AE175"/>
  <c r="AE174"/>
  <c r="AG176"/>
  <c r="AG175"/>
  <c r="AG174"/>
  <c r="AI176"/>
  <c r="AI175"/>
  <c r="AI174"/>
  <c r="AK176"/>
  <c r="AK175"/>
  <c r="AK174"/>
  <c r="J186"/>
  <c r="I178"/>
  <c r="I177"/>
  <c r="L186"/>
  <c r="K178"/>
  <c r="K177"/>
  <c r="N186"/>
  <c r="M178"/>
  <c r="M177"/>
  <c r="P186"/>
  <c r="O178"/>
  <c r="O177"/>
  <c r="R186"/>
  <c r="Q178"/>
  <c r="Q177"/>
  <c r="T186"/>
  <c r="S178"/>
  <c r="S177"/>
  <c r="V186"/>
  <c r="U178"/>
  <c r="U177"/>
  <c r="X186"/>
  <c r="W178"/>
  <c r="W177"/>
  <c r="Z186"/>
  <c r="Y178"/>
  <c r="Y177"/>
  <c r="AB186"/>
  <c r="AA178"/>
  <c r="AA177"/>
  <c r="AD186"/>
  <c r="AC178"/>
  <c r="AC177"/>
  <c r="AF186"/>
  <c r="AE178"/>
  <c r="AE177"/>
  <c r="AH186"/>
  <c r="AG178"/>
  <c r="AG177"/>
  <c r="AJ186"/>
  <c r="AI178"/>
  <c r="AI177"/>
  <c r="AL186"/>
  <c r="AK178"/>
  <c r="AK177"/>
  <c r="I140"/>
  <c r="I139"/>
  <c r="K140"/>
  <c r="K139"/>
  <c r="M140"/>
  <c r="M139"/>
  <c r="O140"/>
  <c r="O139"/>
  <c r="Q140"/>
  <c r="Q139"/>
  <c r="S140"/>
  <c r="S139"/>
  <c r="U140"/>
  <c r="U139"/>
  <c r="W140"/>
  <c r="W139"/>
  <c r="Y140"/>
  <c r="Y139"/>
  <c r="AA140"/>
  <c r="AA139"/>
  <c r="AC140"/>
  <c r="AC139"/>
  <c r="AE140"/>
  <c r="AE139"/>
  <c r="AG140"/>
  <c r="AG139"/>
  <c r="AI140"/>
  <c r="AI139"/>
  <c r="AK140"/>
  <c r="AK139"/>
  <c r="I146"/>
  <c r="I145"/>
  <c r="K146"/>
  <c r="K145"/>
  <c r="M146"/>
  <c r="M145"/>
  <c r="O146"/>
  <c r="O145"/>
  <c r="Q146"/>
  <c r="Q145"/>
  <c r="S146"/>
  <c r="S145"/>
  <c r="U146"/>
  <c r="U145"/>
  <c r="W146"/>
  <c r="W145"/>
  <c r="Y146"/>
  <c r="Y145"/>
  <c r="AA146"/>
  <c r="AA145"/>
  <c r="AC146"/>
  <c r="AC145"/>
  <c r="AE146"/>
  <c r="AE145"/>
  <c r="AG146"/>
  <c r="AG145"/>
  <c r="AI146"/>
  <c r="AI145"/>
  <c r="AK146"/>
  <c r="AK145"/>
  <c r="I148"/>
  <c r="I147"/>
  <c r="K148"/>
  <c r="K147"/>
  <c r="M148"/>
  <c r="M147"/>
  <c r="O148"/>
  <c r="O147"/>
  <c r="Q148"/>
  <c r="Q147"/>
  <c r="S148"/>
  <c r="S147"/>
  <c r="U148"/>
  <c r="U147"/>
  <c r="W148"/>
  <c r="W147"/>
  <c r="Y148"/>
  <c r="Y147"/>
  <c r="AA148"/>
  <c r="AA147"/>
  <c r="AC148"/>
  <c r="AC147"/>
  <c r="AE148"/>
  <c r="AE147"/>
  <c r="AG148"/>
  <c r="AG147"/>
  <c r="AI148"/>
  <c r="AI147"/>
  <c r="AK148"/>
  <c r="AK147"/>
  <c r="J187"/>
  <c r="I153"/>
  <c r="L187"/>
  <c r="K153"/>
  <c r="N187"/>
  <c r="M153"/>
  <c r="P187"/>
  <c r="O153"/>
  <c r="R187"/>
  <c r="Q153"/>
  <c r="T187"/>
  <c r="S153"/>
  <c r="V187"/>
  <c r="U153"/>
  <c r="X187"/>
  <c r="W153"/>
  <c r="Z187"/>
  <c r="Y153"/>
  <c r="AB187"/>
  <c r="AA153"/>
  <c r="AD187"/>
  <c r="AC153"/>
  <c r="AF187"/>
  <c r="AE153"/>
  <c r="AH187"/>
  <c r="AH128"/>
  <c r="AG153"/>
  <c r="AJ187"/>
  <c r="AJ128"/>
  <c r="AI153"/>
  <c r="AL187"/>
  <c r="AL128"/>
  <c r="AK153"/>
  <c r="F186"/>
  <c r="I59"/>
  <c r="K59"/>
  <c r="M59"/>
  <c r="O59"/>
  <c r="Q59"/>
  <c r="S59"/>
  <c r="U59"/>
  <c r="W59"/>
  <c r="Y59"/>
  <c r="AA59"/>
  <c r="AC59"/>
  <c r="AE59"/>
  <c r="AG59"/>
  <c r="AI59"/>
  <c r="AK59"/>
  <c r="I154"/>
  <c r="K154"/>
  <c r="M154"/>
  <c r="O154"/>
  <c r="Q154"/>
  <c r="S154"/>
  <c r="U154"/>
  <c r="W154"/>
  <c r="Y154"/>
  <c r="AA154"/>
  <c r="AC154"/>
  <c r="AE154"/>
  <c r="AG154"/>
  <c r="AI154"/>
  <c r="AK154"/>
  <c r="I123"/>
  <c r="K123"/>
  <c r="M123"/>
  <c r="O123"/>
  <c r="Q123"/>
  <c r="S123"/>
  <c r="U123"/>
  <c r="W123"/>
  <c r="Y123"/>
  <c r="AA123"/>
  <c r="AC123"/>
  <c r="AE123"/>
  <c r="AG123"/>
  <c r="AI123"/>
  <c r="AK123"/>
  <c r="I125"/>
  <c r="K125"/>
  <c r="M125"/>
  <c r="O125"/>
  <c r="Q125"/>
  <c r="S125"/>
  <c r="U125"/>
  <c r="W125"/>
  <c r="Y125"/>
  <c r="AA125"/>
  <c r="AC125"/>
  <c r="AE125"/>
  <c r="AG125"/>
  <c r="AI125"/>
  <c r="AK125"/>
  <c r="I126"/>
  <c r="K126"/>
  <c r="M126"/>
  <c r="O126"/>
  <c r="Q126"/>
  <c r="S126"/>
  <c r="U126"/>
  <c r="W126"/>
  <c r="Y126"/>
  <c r="AA126"/>
  <c r="AC126"/>
  <c r="AE126"/>
  <c r="AG126"/>
  <c r="AI126"/>
  <c r="AK126"/>
  <c r="I128"/>
  <c r="K128"/>
  <c r="M128"/>
  <c r="O128"/>
  <c r="Q128"/>
  <c r="S128"/>
  <c r="U128"/>
  <c r="W128"/>
  <c r="Y128"/>
  <c r="AA128"/>
  <c r="AC128"/>
  <c r="AE128"/>
  <c r="S60" i="6"/>
  <c r="S59"/>
  <c r="S58"/>
  <c r="S57"/>
  <c r="S96"/>
  <c r="P96"/>
  <c r="O96"/>
  <c r="N96"/>
  <c r="M96"/>
  <c r="L96"/>
  <c r="K96"/>
  <c r="J96"/>
  <c r="I96"/>
  <c r="H96"/>
  <c r="G96"/>
  <c r="S95"/>
  <c r="S97" s="1"/>
  <c r="P95"/>
  <c r="P97" s="1"/>
  <c r="O95"/>
  <c r="O97" s="1"/>
  <c r="N95"/>
  <c r="N97" s="1"/>
  <c r="M95"/>
  <c r="M97" s="1"/>
  <c r="L95"/>
  <c r="L97" s="1"/>
  <c r="K95"/>
  <c r="K97" s="1"/>
  <c r="J95"/>
  <c r="J97" s="1"/>
  <c r="I95"/>
  <c r="I97" s="1"/>
  <c r="H95"/>
  <c r="H97" s="1"/>
  <c r="G95"/>
  <c r="G97" s="1"/>
  <c r="S92"/>
  <c r="P92"/>
  <c r="O92"/>
  <c r="N92"/>
  <c r="M92"/>
  <c r="L92"/>
  <c r="K92"/>
  <c r="J92"/>
  <c r="I92"/>
  <c r="H92"/>
  <c r="G92"/>
  <c r="S91"/>
  <c r="S93" s="1"/>
  <c r="P91"/>
  <c r="P93" s="1"/>
  <c r="O91"/>
  <c r="O93" s="1"/>
  <c r="N91"/>
  <c r="N93" s="1"/>
  <c r="M91"/>
  <c r="M93" s="1"/>
  <c r="L91"/>
  <c r="L93" s="1"/>
  <c r="K91"/>
  <c r="K93" s="1"/>
  <c r="J91"/>
  <c r="J93" s="1"/>
  <c r="I91"/>
  <c r="I93" s="1"/>
  <c r="H91"/>
  <c r="H93" s="1"/>
  <c r="G91"/>
  <c r="G93" s="1"/>
  <c r="S74"/>
  <c r="S73"/>
  <c r="S72"/>
  <c r="S71"/>
  <c r="S70"/>
  <c r="F69"/>
  <c r="F68"/>
  <c r="P67"/>
  <c r="O67"/>
  <c r="N67"/>
  <c r="M67"/>
  <c r="L67"/>
  <c r="K67"/>
  <c r="J67"/>
  <c r="I67"/>
  <c r="H67"/>
  <c r="G67"/>
  <c r="F67"/>
  <c r="S67" s="1"/>
  <c r="F66"/>
  <c r="F65"/>
  <c r="P64"/>
  <c r="O64"/>
  <c r="N64"/>
  <c r="M64"/>
  <c r="L64"/>
  <c r="K64"/>
  <c r="J64"/>
  <c r="I64"/>
  <c r="H64"/>
  <c r="G64"/>
  <c r="F64"/>
  <c r="S64" s="1"/>
  <c r="R63"/>
  <c r="Q63"/>
  <c r="P63"/>
  <c r="O63"/>
  <c r="N63"/>
  <c r="M63"/>
  <c r="M51" s="1"/>
  <c r="L63"/>
  <c r="L51" s="1"/>
  <c r="K63"/>
  <c r="J63"/>
  <c r="I63"/>
  <c r="S62"/>
  <c r="S61"/>
  <c r="S56"/>
  <c r="S55"/>
  <c r="S54"/>
  <c r="S53"/>
  <c r="R52"/>
  <c r="Q52"/>
  <c r="P52"/>
  <c r="O52"/>
  <c r="N52"/>
  <c r="M52"/>
  <c r="L52"/>
  <c r="K52"/>
  <c r="J52"/>
  <c r="J9" s="1"/>
  <c r="I52"/>
  <c r="I9" s="1"/>
  <c r="Q39"/>
  <c r="P39"/>
  <c r="O39"/>
  <c r="N39"/>
  <c r="M39"/>
  <c r="L39"/>
  <c r="K39"/>
  <c r="J39"/>
  <c r="I39"/>
  <c r="H39"/>
  <c r="G39"/>
  <c r="F39"/>
  <c r="S38"/>
  <c r="S37"/>
  <c r="S36"/>
  <c r="S35"/>
  <c r="G35"/>
  <c r="S34"/>
  <c r="G34"/>
  <c r="S33"/>
  <c r="S32"/>
  <c r="G32"/>
  <c r="S31"/>
  <c r="G31"/>
  <c r="S30"/>
  <c r="G30"/>
  <c r="S29"/>
  <c r="S28"/>
  <c r="S27"/>
  <c r="S26"/>
  <c r="G26"/>
  <c r="S25"/>
  <c r="G25"/>
  <c r="S24"/>
  <c r="S23"/>
  <c r="S22"/>
  <c r="S21"/>
  <c r="S20"/>
  <c r="S19"/>
  <c r="S18"/>
  <c r="R17"/>
  <c r="Q17"/>
  <c r="P17"/>
  <c r="O17"/>
  <c r="N17"/>
  <c r="N10" s="1"/>
  <c r="M17"/>
  <c r="M10" s="1"/>
  <c r="L17"/>
  <c r="K17"/>
  <c r="J17"/>
  <c r="I17"/>
  <c r="I11" s="1"/>
  <c r="H17"/>
  <c r="G17"/>
  <c r="F17"/>
  <c r="F10" s="1"/>
  <c r="S16"/>
  <c r="S15"/>
  <c r="S14"/>
  <c r="S13"/>
  <c r="S12" s="1"/>
  <c r="R12"/>
  <c r="Q12"/>
  <c r="P12"/>
  <c r="O12"/>
  <c r="N12"/>
  <c r="M12"/>
  <c r="L12"/>
  <c r="K12"/>
  <c r="J12"/>
  <c r="I12"/>
  <c r="H12"/>
  <c r="G12"/>
  <c r="F12"/>
  <c r="R11"/>
  <c r="Q11"/>
  <c r="P11"/>
  <c r="O11"/>
  <c r="N11"/>
  <c r="M11"/>
  <c r="M8" s="1"/>
  <c r="L11"/>
  <c r="K11"/>
  <c r="H11"/>
  <c r="G11"/>
  <c r="Q10"/>
  <c r="P10"/>
  <c r="O10"/>
  <c r="L10"/>
  <c r="K10"/>
  <c r="I10"/>
  <c r="H10"/>
  <c r="G10"/>
  <c r="R9"/>
  <c r="Q9"/>
  <c r="P9"/>
  <c r="O9"/>
  <c r="N9"/>
  <c r="M9"/>
  <c r="L9"/>
  <c r="K9"/>
  <c r="L8"/>
  <c r="AI219" i="7" l="1"/>
  <c r="AI217"/>
  <c r="AI215"/>
  <c r="AI220"/>
  <c r="AI218"/>
  <c r="AI216"/>
  <c r="AE219"/>
  <c r="AE217"/>
  <c r="AE215"/>
  <c r="AE220"/>
  <c r="AE218"/>
  <c r="AE216"/>
  <c r="AA219"/>
  <c r="AA217"/>
  <c r="AA215"/>
  <c r="AA220"/>
  <c r="AA218"/>
  <c r="AA216"/>
  <c r="W219"/>
  <c r="W217"/>
  <c r="W215"/>
  <c r="W220"/>
  <c r="W218"/>
  <c r="W216"/>
  <c r="S219"/>
  <c r="S217"/>
  <c r="S215"/>
  <c r="S220"/>
  <c r="S218"/>
  <c r="S216"/>
  <c r="O219"/>
  <c r="O217"/>
  <c r="O215"/>
  <c r="O220"/>
  <c r="O218"/>
  <c r="O216"/>
  <c r="K219"/>
  <c r="K217"/>
  <c r="K215"/>
  <c r="K220"/>
  <c r="K218"/>
  <c r="K216"/>
  <c r="G219"/>
  <c r="G217"/>
  <c r="G215"/>
  <c r="G220"/>
  <c r="G218"/>
  <c r="G216"/>
  <c r="G7"/>
  <c r="H56"/>
  <c r="AJ220"/>
  <c r="AJ218"/>
  <c r="AJ216"/>
  <c r="AJ219"/>
  <c r="AJ217"/>
  <c r="AJ215"/>
  <c r="AF220"/>
  <c r="AF218"/>
  <c r="AF216"/>
  <c r="AF219"/>
  <c r="AF217"/>
  <c r="AF215"/>
  <c r="AB220"/>
  <c r="AB218"/>
  <c r="AB216"/>
  <c r="AB219"/>
  <c r="AB217"/>
  <c r="AB215"/>
  <c r="X220"/>
  <c r="X218"/>
  <c r="X216"/>
  <c r="X219"/>
  <c r="X217"/>
  <c r="X215"/>
  <c r="T220"/>
  <c r="T218"/>
  <c r="T216"/>
  <c r="T219"/>
  <c r="T217"/>
  <c r="T215"/>
  <c r="P220"/>
  <c r="P218"/>
  <c r="P216"/>
  <c r="P219"/>
  <c r="P217"/>
  <c r="P215"/>
  <c r="L220"/>
  <c r="L218"/>
  <c r="L216"/>
  <c r="L219"/>
  <c r="L217"/>
  <c r="L215"/>
  <c r="H220"/>
  <c r="H218"/>
  <c r="H216"/>
  <c r="H219"/>
  <c r="H217"/>
  <c r="H215"/>
  <c r="Q205"/>
  <c r="Q206"/>
  <c r="Q211"/>
  <c r="Q208"/>
  <c r="O204"/>
  <c r="O209"/>
  <c r="O213"/>
  <c r="O210"/>
  <c r="M205"/>
  <c r="M206"/>
  <c r="M211"/>
  <c r="K204"/>
  <c r="K209"/>
  <c r="K213"/>
  <c r="K210"/>
  <c r="I205"/>
  <c r="I206"/>
  <c r="I211"/>
  <c r="G204"/>
  <c r="G209"/>
  <c r="G213"/>
  <c r="G210"/>
  <c r="R203"/>
  <c r="R209"/>
  <c r="R213"/>
  <c r="P211"/>
  <c r="N203"/>
  <c r="N210"/>
  <c r="N209"/>
  <c r="N213"/>
  <c r="L211"/>
  <c r="J203"/>
  <c r="J210"/>
  <c r="J209"/>
  <c r="J213"/>
  <c r="H211"/>
  <c r="AK226"/>
  <c r="AK224"/>
  <c r="AK225"/>
  <c r="AK223"/>
  <c r="AK221"/>
  <c r="AK222"/>
  <c r="AI226"/>
  <c r="AI224"/>
  <c r="AI225"/>
  <c r="AI223"/>
  <c r="AI221"/>
  <c r="AI222"/>
  <c r="AG226"/>
  <c r="AG224"/>
  <c r="AG225"/>
  <c r="AG223"/>
  <c r="AG221"/>
  <c r="AG222"/>
  <c r="AE226"/>
  <c r="AE224"/>
  <c r="AE225"/>
  <c r="AE223"/>
  <c r="AE221"/>
  <c r="AE222"/>
  <c r="AC226"/>
  <c r="AC224"/>
  <c r="AC225"/>
  <c r="AC223"/>
  <c r="AC221"/>
  <c r="AC222"/>
  <c r="AA226"/>
  <c r="AA224"/>
  <c r="AA225"/>
  <c r="AA223"/>
  <c r="AA221"/>
  <c r="AA222"/>
  <c r="Y226"/>
  <c r="Y224"/>
  <c r="Y225"/>
  <c r="Y223"/>
  <c r="Y221"/>
  <c r="Y222"/>
  <c r="W226"/>
  <c r="W224"/>
  <c r="W225"/>
  <c r="W223"/>
  <c r="W221"/>
  <c r="W222"/>
  <c r="U226"/>
  <c r="U224"/>
  <c r="U225"/>
  <c r="U223"/>
  <c r="U221"/>
  <c r="U222"/>
  <c r="S226"/>
  <c r="S224"/>
  <c r="S225"/>
  <c r="S223"/>
  <c r="S221"/>
  <c r="S222"/>
  <c r="Q226"/>
  <c r="Q224"/>
  <c r="Q225"/>
  <c r="Q223"/>
  <c r="Q221"/>
  <c r="Q222"/>
  <c r="O226"/>
  <c r="O224"/>
  <c r="O225"/>
  <c r="O223"/>
  <c r="O221"/>
  <c r="O222"/>
  <c r="M226"/>
  <c r="M224"/>
  <c r="M225"/>
  <c r="M223"/>
  <c r="M221"/>
  <c r="M222"/>
  <c r="K226"/>
  <c r="K224"/>
  <c r="K225"/>
  <c r="K223"/>
  <c r="K221"/>
  <c r="K222"/>
  <c r="I226"/>
  <c r="I224"/>
  <c r="I225"/>
  <c r="I223"/>
  <c r="I221"/>
  <c r="I222"/>
  <c r="G226"/>
  <c r="G224"/>
  <c r="G225"/>
  <c r="G223"/>
  <c r="G221"/>
  <c r="G222"/>
  <c r="AK219"/>
  <c r="AK217"/>
  <c r="AK215"/>
  <c r="AK220"/>
  <c r="AK218"/>
  <c r="AK216"/>
  <c r="AG219"/>
  <c r="AG217"/>
  <c r="AG215"/>
  <c r="AG220"/>
  <c r="AG218"/>
  <c r="AG216"/>
  <c r="AC219"/>
  <c r="AC217"/>
  <c r="AC215"/>
  <c r="AC220"/>
  <c r="AC218"/>
  <c r="AC216"/>
  <c r="Y219"/>
  <c r="Y217"/>
  <c r="Y215"/>
  <c r="Y220"/>
  <c r="Y218"/>
  <c r="Y216"/>
  <c r="U219"/>
  <c r="U217"/>
  <c r="U215"/>
  <c r="U220"/>
  <c r="U218"/>
  <c r="U216"/>
  <c r="Q219"/>
  <c r="Q217"/>
  <c r="Q215"/>
  <c r="Q220"/>
  <c r="Q218"/>
  <c r="Q216"/>
  <c r="M219"/>
  <c r="M217"/>
  <c r="M215"/>
  <c r="M220"/>
  <c r="M218"/>
  <c r="M216"/>
  <c r="I219"/>
  <c r="I217"/>
  <c r="I215"/>
  <c r="I220"/>
  <c r="I218"/>
  <c r="I216"/>
  <c r="K7"/>
  <c r="J56"/>
  <c r="AL225"/>
  <c r="AL223"/>
  <c r="AL226"/>
  <c r="AL224"/>
  <c r="AL222"/>
  <c r="AL221"/>
  <c r="AJ225"/>
  <c r="AJ223"/>
  <c r="AJ226"/>
  <c r="AJ224"/>
  <c r="AJ222"/>
  <c r="AJ221"/>
  <c r="AH225"/>
  <c r="AH226"/>
  <c r="AH224"/>
  <c r="AH222"/>
  <c r="AH223"/>
  <c r="AH221"/>
  <c r="AF225"/>
  <c r="AF226"/>
  <c r="AF224"/>
  <c r="AF222"/>
  <c r="AF223"/>
  <c r="AF221"/>
  <c r="AD225"/>
  <c r="AD226"/>
  <c r="AD224"/>
  <c r="AD222"/>
  <c r="AD223"/>
  <c r="AD221"/>
  <c r="AB225"/>
  <c r="AB226"/>
  <c r="AB224"/>
  <c r="AB222"/>
  <c r="AB223"/>
  <c r="AB221"/>
  <c r="Z225"/>
  <c r="Z226"/>
  <c r="Z224"/>
  <c r="Z222"/>
  <c r="Z223"/>
  <c r="Z221"/>
  <c r="X225"/>
  <c r="X226"/>
  <c r="X224"/>
  <c r="X222"/>
  <c r="X223"/>
  <c r="X221"/>
  <c r="V225"/>
  <c r="V226"/>
  <c r="V224"/>
  <c r="V222"/>
  <c r="V223"/>
  <c r="V221"/>
  <c r="T225"/>
  <c r="T226"/>
  <c r="T224"/>
  <c r="T222"/>
  <c r="T223"/>
  <c r="T221"/>
  <c r="R225"/>
  <c r="R226"/>
  <c r="R224"/>
  <c r="R222"/>
  <c r="R223"/>
  <c r="R221"/>
  <c r="P225"/>
  <c r="P226"/>
  <c r="P224"/>
  <c r="P222"/>
  <c r="P223"/>
  <c r="P221"/>
  <c r="N225"/>
  <c r="N226"/>
  <c r="N224"/>
  <c r="N222"/>
  <c r="N223"/>
  <c r="N221"/>
  <c r="L225"/>
  <c r="L226"/>
  <c r="L224"/>
  <c r="L222"/>
  <c r="L223"/>
  <c r="L221"/>
  <c r="J225"/>
  <c r="J226"/>
  <c r="J224"/>
  <c r="J222"/>
  <c r="J223"/>
  <c r="J221"/>
  <c r="H225"/>
  <c r="H226"/>
  <c r="H224"/>
  <c r="H222"/>
  <c r="H223"/>
  <c r="H221"/>
  <c r="F225"/>
  <c r="F226"/>
  <c r="F224"/>
  <c r="F222"/>
  <c r="F223"/>
  <c r="F221"/>
  <c r="AL220"/>
  <c r="AL218"/>
  <c r="AL216"/>
  <c r="AL219"/>
  <c r="AL217"/>
  <c r="AL215"/>
  <c r="AH220"/>
  <c r="AH218"/>
  <c r="AH216"/>
  <c r="AH219"/>
  <c r="AH217"/>
  <c r="AH215"/>
  <c r="AD220"/>
  <c r="AD218"/>
  <c r="AD216"/>
  <c r="AD219"/>
  <c r="AD217"/>
  <c r="AD215"/>
  <c r="Z220"/>
  <c r="Z218"/>
  <c r="Z216"/>
  <c r="Z219"/>
  <c r="Z217"/>
  <c r="Z215"/>
  <c r="V220"/>
  <c r="V218"/>
  <c r="V216"/>
  <c r="V219"/>
  <c r="V217"/>
  <c r="V215"/>
  <c r="R220"/>
  <c r="R218"/>
  <c r="R216"/>
  <c r="R219"/>
  <c r="R217"/>
  <c r="R215"/>
  <c r="N220"/>
  <c r="N218"/>
  <c r="N216"/>
  <c r="N219"/>
  <c r="N217"/>
  <c r="N215"/>
  <c r="J220"/>
  <c r="J218"/>
  <c r="J216"/>
  <c r="J219"/>
  <c r="J217"/>
  <c r="J215"/>
  <c r="F220"/>
  <c r="F218"/>
  <c r="F216"/>
  <c r="F219"/>
  <c r="F217"/>
  <c r="F215"/>
  <c r="Q204"/>
  <c r="Q210"/>
  <c r="O205"/>
  <c r="O202"/>
  <c r="O206"/>
  <c r="O208"/>
  <c r="M204"/>
  <c r="K205"/>
  <c r="K202"/>
  <c r="K206"/>
  <c r="K208"/>
  <c r="I204"/>
  <c r="G205"/>
  <c r="G202"/>
  <c r="G206"/>
  <c r="G208"/>
  <c r="P202"/>
  <c r="N208"/>
  <c r="L202"/>
  <c r="J208"/>
  <c r="H202"/>
  <c r="F11" i="6"/>
  <c r="O51"/>
  <c r="O8" s="1"/>
  <c r="Q51"/>
  <c r="Q8" s="1"/>
  <c r="P51"/>
  <c r="R51"/>
  <c r="R8" s="1"/>
  <c r="N51"/>
  <c r="N8" s="1"/>
  <c r="J10"/>
  <c r="P8"/>
  <c r="R10"/>
  <c r="S63"/>
  <c r="J51"/>
  <c r="K51"/>
  <c r="K8" s="1"/>
  <c r="S52"/>
  <c r="S9" s="1"/>
  <c r="I51"/>
  <c r="I8" s="1"/>
  <c r="J11"/>
  <c r="S17"/>
  <c r="H8"/>
  <c r="H9"/>
  <c r="K56" i="7" l="1"/>
  <c r="L7"/>
  <c r="G56"/>
  <c r="F7"/>
  <c r="S51" i="6"/>
  <c r="S10"/>
  <c r="J8"/>
  <c r="S11"/>
  <c r="G8"/>
  <c r="G9"/>
  <c r="E7" i="7" l="1"/>
  <c r="E56" s="1"/>
  <c r="F56"/>
  <c r="M7"/>
  <c r="L56"/>
  <c r="S8" i="6"/>
  <c r="M56" i="7" l="1"/>
  <c r="N7"/>
  <c r="F9" i="6"/>
  <c r="F8"/>
  <c r="O7" i="7" l="1"/>
  <c r="N56"/>
  <c r="O56" l="1"/>
  <c r="P7"/>
  <c r="Q7" l="1"/>
  <c r="P56"/>
  <c r="Q56" l="1"/>
  <c r="R7"/>
  <c r="S7" l="1"/>
  <c r="R56"/>
  <c r="S56" l="1"/>
  <c r="T7"/>
  <c r="U7" l="1"/>
  <c r="T56"/>
  <c r="U56" l="1"/>
  <c r="V7"/>
  <c r="W7" l="1"/>
  <c r="V56"/>
  <c r="W56" l="1"/>
  <c r="X7"/>
  <c r="Y7" l="1"/>
  <c r="X56"/>
  <c r="Y56" l="1"/>
  <c r="Z7"/>
  <c r="AA7" l="1"/>
  <c r="Z56"/>
  <c r="AA56" l="1"/>
  <c r="AB7"/>
  <c r="AC7" l="1"/>
  <c r="AB56"/>
  <c r="AC56" l="1"/>
  <c r="AD7"/>
  <c r="AE7" l="1"/>
  <c r="AD56"/>
  <c r="AE56" l="1"/>
  <c r="AF7"/>
  <c r="AG7" l="1"/>
  <c r="AF56"/>
  <c r="AG56" l="1"/>
  <c r="AH7"/>
  <c r="AI7" l="1"/>
  <c r="AH56"/>
  <c r="AI56" l="1"/>
  <c r="AJ7"/>
  <c r="AK7" l="1"/>
  <c r="AJ56"/>
  <c r="AK56" l="1"/>
  <c r="AL7"/>
  <c r="AL56" s="1"/>
</calcChain>
</file>

<file path=xl/sharedStrings.xml><?xml version="1.0" encoding="utf-8"?>
<sst xmlns="http://schemas.openxmlformats.org/spreadsheetml/2006/main" count="1619" uniqueCount="618">
  <si>
    <t>Lp.</t>
  </si>
  <si>
    <t>1.1</t>
  </si>
  <si>
    <t>1.1.1</t>
  </si>
  <si>
    <t>1.1.2</t>
  </si>
  <si>
    <t>1.2</t>
  </si>
  <si>
    <t>1.2.1</t>
  </si>
  <si>
    <t>1.2.2</t>
  </si>
  <si>
    <t>w złotych</t>
  </si>
  <si>
    <t>Nazwa i cel przedsięwzięcia</t>
  </si>
  <si>
    <t>Jednostka organizacyjna odpowiedzialna za realizację lub koordynująca wykonywanie przedsięwzięcia</t>
  </si>
  <si>
    <t>Okres realizacji</t>
  </si>
  <si>
    <t>Łączne nakłady finansowe
(w zł)</t>
  </si>
  <si>
    <t>Limit
zobowiązań
(w zł)</t>
  </si>
  <si>
    <t>od</t>
  </si>
  <si>
    <t>do</t>
  </si>
  <si>
    <t>2012 r.</t>
  </si>
  <si>
    <t>2013 r.</t>
  </si>
  <si>
    <t>2014 r.</t>
  </si>
  <si>
    <t>2015 r.</t>
  </si>
  <si>
    <t>2016 r.</t>
  </si>
  <si>
    <t>2017 r.</t>
  </si>
  <si>
    <t>2018 r.</t>
  </si>
  <si>
    <t>2019 r.</t>
  </si>
  <si>
    <t>2020 r.</t>
  </si>
  <si>
    <t>2021 r.</t>
  </si>
  <si>
    <t>2022r.</t>
  </si>
  <si>
    <t>2023r.</t>
  </si>
  <si>
    <t>1.</t>
  </si>
  <si>
    <t>Wydatki na przedsięwzięcia - ogółem ( 1.1 + 1.2 +1.3) z  tego:</t>
  </si>
  <si>
    <t>1.a</t>
  </si>
  <si>
    <t xml:space="preserve"> - wydatki bieżące</t>
  </si>
  <si>
    <t>1.b</t>
  </si>
  <si>
    <t xml:space="preserve"> - wydatki majątkowe</t>
  </si>
  <si>
    <t>Wydatki na programy, projekty lub zadania zwiazane z programami realizowanymi z udziałem środków, o których mowa w art..5 ust.1 pkt 2 i 3 ustawy z dnia 27 sierpnia 2009 r. o finansach publicznych ( Dz.U. Nr 157, poz.1240, z póź.zm.), z tego:</t>
  </si>
  <si>
    <t>1.1.1.1</t>
  </si>
  <si>
    <t>Przeciwdziałanie wykluczeniu cyfrowemu -Internet dla mieszkańców Gminy Kobylanka</t>
  </si>
  <si>
    <t>Urząd Gminy Kobylanka     SRGK 3.4.1.1</t>
  </si>
  <si>
    <t xml:space="preserve"> - </t>
  </si>
  <si>
    <t>1.1.1.2</t>
  </si>
  <si>
    <t>Integracja społeczna w Powiecie Stargardzkim  POKL</t>
  </si>
  <si>
    <t xml:space="preserve">Urząd Gminy Kobylanka     </t>
  </si>
  <si>
    <t>1.1.1.3</t>
  </si>
  <si>
    <t>projekt w ramach POKL " Myślę, liczę, działam" - Wyrównywanie szans edukacyjnych uczniów z grup o utrudnionym dostępie do edukacji, zmniejszenie różnic w jakości usług edukacyjnych</t>
  </si>
  <si>
    <t>Urząd Gminy Kobylanka</t>
  </si>
  <si>
    <t>1.1.1.4</t>
  </si>
  <si>
    <t xml:space="preserve">Powołanie "Forum Przedsiębiorców" </t>
  </si>
  <si>
    <t>Urząd Gminy Kobylanka     SRGK 1.1.2.1</t>
  </si>
  <si>
    <t>Zorganizowanie cyklu szkoleń i spotkań dla lokalnych rolników, mających na celu doradztwo w zakresie pozyskania dofinansowania z UE i podnoszenia efektywności działalności rolniczej - 1 szkolenie/rok</t>
  </si>
  <si>
    <t>Urząd Gminy Kobylanka     SRGK 1.2.1.1</t>
  </si>
  <si>
    <t>Zorganizowanie cyklu szkoleń i spotkań dla lokalnych rolników, mających na celu doradztwo w zakresie pozyskania dofinansowania z UE  - 1 szkolenie/rok - Promocja i wspieranie rozwoju rolnictwa ekologicznego</t>
  </si>
  <si>
    <t>Urząd Gminy Kobylanka     SRGK 1.2.2.1</t>
  </si>
  <si>
    <t>Zorganizowanie cyklu szkoleń i spotkań dla lokalnych rolników, mających na celu doradztwo w zakresie pozyskania dofinansowania z UE  - 1 szkolenie/rok  -Inicjowanie zadań na rzecz tworzenia gospodarstw agroturystycznych i ekologicznych</t>
  </si>
  <si>
    <t>Urząd Gminy Kobylanka     SRGK 1.2.3.1</t>
  </si>
  <si>
    <t>POKL "Wsparcie JST w zakresie wdrożenia standartów świadczenia elektronicznych usług publicznych oraz elektronizacji wymiany  korespondencji za pomocą e-PUAP,  w tym m.in.. Poprzez wdrożenie dziedzinowych systemów informatycnych ,podniesienie kwalifikacji pracowników samorządowych w zakresie wykorzystania technologii informacyjno - komunikacyjnych ,działania informacyjne podnoszące stopień wykorzystania e-usług</t>
  </si>
  <si>
    <t>Urząd Gminy Kobylanka      SRGK 3.3.4.1.</t>
  </si>
  <si>
    <t>1.1.2.1</t>
  </si>
  <si>
    <t>Urząd Gminy Kobylanka      SRGK 3.7.1.1.</t>
  </si>
  <si>
    <t>1.1.2.2</t>
  </si>
  <si>
    <t xml:space="preserve">Przebudowa drogi gminnej Kobylanka-Jęczydół </t>
  </si>
  <si>
    <t>Urząd Gminy Kobylanka     SRGK 3.1.1.2.</t>
  </si>
  <si>
    <t>1.1.2.3</t>
  </si>
  <si>
    <t>Przebudowa drogi gminnej  Cisewo-Wielichówko</t>
  </si>
  <si>
    <t>Urząd Gminy Kobylanka     SRGK 3.1.1.3</t>
  </si>
  <si>
    <t>1.1.2.4</t>
  </si>
  <si>
    <t>Budowa dróg gminnych do terenów inwestycyjnych oraz ich uzbrojenie w media</t>
  </si>
  <si>
    <t>Urząd Gminy Kobylanka      SRGK 1.1.1.1</t>
  </si>
  <si>
    <t>1.1.2.5</t>
  </si>
  <si>
    <t>Budowa ścieżek rowerowych</t>
  </si>
  <si>
    <t>Urząd Gminy Kobylanka     SRGK 3.1.2.3.</t>
  </si>
  <si>
    <t>1.1.2.6</t>
  </si>
  <si>
    <t>Rozbudowa sieci wodociągowej na terenie gminy Kobylanka</t>
  </si>
  <si>
    <t>Urząd Gminy Kobylanka     SRGK 3.2.1.1</t>
  </si>
  <si>
    <t>1.1.2.7</t>
  </si>
  <si>
    <t>Dokończenie rozbudowy sieci kanalizacyjnejw strefie ochrony wód jeziora Miedwie- Miedwiecko za torami</t>
  </si>
  <si>
    <t>Urząd Gminy Kobylanka     SRGK 3.7.2.2.</t>
  </si>
  <si>
    <t>1.1.2.8</t>
  </si>
  <si>
    <t>Budowa sieci kanalizacyjnej, ulica Wyszyńskiego - Brzozowa w Miedwiecku</t>
  </si>
  <si>
    <t>Urząd Gminy Kobylanka     SRGK 3.7.2.1.</t>
  </si>
  <si>
    <t>1.1.2.9</t>
  </si>
  <si>
    <t>Budowa infrastruktury turystyczno - kulturalnej nad jeziorem Miedwie ( teren przy muszli koncertowej)</t>
  </si>
  <si>
    <t>Urząd Gminy Kobylanka     SRGK 2.2.1.1.</t>
  </si>
  <si>
    <t>1.1.2.10</t>
  </si>
  <si>
    <t>Budowa parkingów w miejscowościach Morzyczyn i Zieleniewo</t>
  </si>
  <si>
    <t>Urząd Gminy Kobylanka     SRGK 2.2.1.2.</t>
  </si>
  <si>
    <t>1.1.2.11</t>
  </si>
  <si>
    <t>Stworzenie szlaku wodnego do torpedowni</t>
  </si>
  <si>
    <t>Urząd Gminy Kobylanka     SRGK 2.2.2.2.</t>
  </si>
  <si>
    <t>1.1.2.12</t>
  </si>
  <si>
    <t>Budowa przystani jachtowej z infrastrukturą pomocniczą</t>
  </si>
  <si>
    <t>Urząd Gminy Kobylanka      SRGK 2.2.3.2</t>
  </si>
  <si>
    <t>1.1.2.13</t>
  </si>
  <si>
    <t>Modernizacja GOK i Biblioteki w Kobylance</t>
  </si>
  <si>
    <t>Urząd Gminy Kobylanka     SRGK 2.1.2.1</t>
  </si>
  <si>
    <t>1.1.2.14</t>
  </si>
  <si>
    <t>Modernizacja świetlicy wiejskiej w Kunowie</t>
  </si>
  <si>
    <t>Urząd Gminy Kobylanka     SRGK 2.1.2.2.</t>
  </si>
  <si>
    <t>1.1.2.15</t>
  </si>
  <si>
    <t xml:space="preserve">Modernizacja świetlicy wiejskiej w Morzyczynie </t>
  </si>
  <si>
    <t>Urząd Gminy Kobylanka     SRGK 2.1.2.4.</t>
  </si>
  <si>
    <t>1.1.2.16</t>
  </si>
  <si>
    <t>Modernizacja świetlicy wiejskiej w Bielkowie</t>
  </si>
  <si>
    <t>Urząd Gminy Kobylanka SRGK 2.1.2.5.</t>
  </si>
  <si>
    <t>1.1.2.17</t>
  </si>
  <si>
    <t>Budowa stadionu sportowego      w Reptowie</t>
  </si>
  <si>
    <t>Urząd Gminy Kobylanka     SRGK 2.1.1.1.</t>
  </si>
  <si>
    <t>1.1.2.18</t>
  </si>
  <si>
    <t>Budownictwo socjalne</t>
  </si>
  <si>
    <t>Urząd Gminy Kobylanka       SRGK 3.5.2.1.</t>
  </si>
  <si>
    <t>1.1.2.19</t>
  </si>
  <si>
    <t>Modernizacja placów zabaw na terenie gminy Kobylanka</t>
  </si>
  <si>
    <t>Urząd Gminy Kobylanka     SRGK 2.1.1.3.</t>
  </si>
  <si>
    <t>1.1.2.20</t>
  </si>
  <si>
    <t>Rozbudowa szkół na terenie gminy Kobylanka</t>
  </si>
  <si>
    <t>Urząd Gminy Kobylanka      SRGK 3.3.1.1.</t>
  </si>
  <si>
    <t>1.1.2.21</t>
  </si>
  <si>
    <t>Stwarzanie warunków do rozwoju sportów wodnych poprzez uzupełnianie infrastruktury</t>
  </si>
  <si>
    <t>Urząd Gminy Kobylanka      SRGK 2.2.3.3</t>
  </si>
  <si>
    <t>Wydatki na programy, projekty lub zadania związane z umowami partnerstwa publiczno-prywatnego, z tego:</t>
  </si>
  <si>
    <t xml:space="preserve">  Program …</t>
  </si>
  <si>
    <t>…</t>
  </si>
  <si>
    <t>1.3</t>
  </si>
  <si>
    <t>Wydatki na programy, projekty lub zadania pozostałe (inne niż wymienione w pkt 1.1   i 1.2), z tego:</t>
  </si>
  <si>
    <t>1.3.1</t>
  </si>
  <si>
    <t>1.3.1.1</t>
  </si>
  <si>
    <t>Stworzenie i realizacja szczegółowego programu współpracy z miastami partnerskimi  w porozumieniu z jednostkami organizacyjnymi i organizacjami pozarządowymi działajacymi na terenie Gminy w zakresie: oświaty, kultury, sportu, turystyk oraz przedsiębiorczosci.</t>
  </si>
  <si>
    <t>Urząd Gminy Kobylanka      SRGK 1.3.3.1.</t>
  </si>
  <si>
    <t>1.3.1.2</t>
  </si>
  <si>
    <t xml:space="preserve">Mapa Gminy, elektroniczny przewodnik po gminie                     z uwzględnieniem szlaków dla pieszych, rowerów (wypożyczalnie rowerów)              i samochodów </t>
  </si>
  <si>
    <t>Urząd Gminy Kobylanka      SRGK 2.2.2.1.</t>
  </si>
  <si>
    <t>1.3.1.3</t>
  </si>
  <si>
    <t xml:space="preserve">Tworzenie partnerstw w zakresie podnoszenia poziomu bezpieczeństwa  i porządku publicznego na terenie Gminy. </t>
  </si>
  <si>
    <t>Urząd Gminy Kobylanka      SRGK 3.6.2.1.</t>
  </si>
  <si>
    <t>1.3.1.4</t>
  </si>
  <si>
    <t>Promocja terenów pod inwestycje turystyczne w Morzyczynie            i Zieleniewie</t>
  </si>
  <si>
    <t>Urząd Gminy Kobylanka      SRGK 2.2.4.1.</t>
  </si>
  <si>
    <t>1.3.1.5</t>
  </si>
  <si>
    <t>Punkt informacji turystycznej</t>
  </si>
  <si>
    <t>Urząd Gminy Kobylanka      SRGK 2.2.3.1</t>
  </si>
  <si>
    <t>1.3.1.6</t>
  </si>
  <si>
    <t>Zabiegi pielęgnacyjne na pomnikach przyrody</t>
  </si>
  <si>
    <t>Urząd Gminy Kobylanka      SRGK 3.7.4.1</t>
  </si>
  <si>
    <t>1.3.2</t>
  </si>
  <si>
    <t>Modernizacja dróg gminnych</t>
  </si>
  <si>
    <t>Budowa drogi Zieleniewo - Miedwiecko</t>
  </si>
  <si>
    <t>1.3.2.1</t>
  </si>
  <si>
    <t>Modernizacja ul. Popiełuszki w Zieleniewie</t>
  </si>
  <si>
    <t>Urząd Gminy Kobylanka      SRGK 3.1.1.1.</t>
  </si>
  <si>
    <t>1.3.2.2</t>
  </si>
  <si>
    <t>Modernizacja dróg na terenie Gminy Kobylanka</t>
  </si>
  <si>
    <t>Urząd Gminy Kobylanka     SRGK 3.1.1.4</t>
  </si>
  <si>
    <t>1.3.2.3</t>
  </si>
  <si>
    <t>Urząd Gminy Kobylanka     SRGK 3.1.2.1.</t>
  </si>
  <si>
    <t>1.3.2.4</t>
  </si>
  <si>
    <t>Rozbudowa oświetlenia ulicznego</t>
  </si>
  <si>
    <t>Urząd Gminy Kobylanka     SRGK 3.1.2.2.</t>
  </si>
  <si>
    <t>1.3.2.5</t>
  </si>
  <si>
    <t>Urząd Gminy Kobylanka      SRGK 3.6.3.1.</t>
  </si>
  <si>
    <t>1.3.2.6</t>
  </si>
  <si>
    <t>Kanalizacja - porozumienia partycypacyjne</t>
  </si>
  <si>
    <t>Urząd Gminy Kobylanka SRGK 3.7.2.3.</t>
  </si>
  <si>
    <t>1.3.2.7</t>
  </si>
  <si>
    <t>Budowa dwóch budynków komunalnych w Kobylance</t>
  </si>
  <si>
    <t>1.3.2.8</t>
  </si>
  <si>
    <t>Miejscowe Plany Zagospodarowania Przestrzennego: Niedźwiedź (kościół), Zieleniewo(OSiR), Kobylanka (przy GPZ), Kobylanka-Jęczydół, Kobylanka-Motaniec, Motaniec -Bielkowo( tereny przemysłowe), Reptowo ( tereny przemysłowe), Rekowo-wieś, Jęczydół-Bielkowo, Kunowo (M,UT)</t>
  </si>
  <si>
    <t>Urząd Gminy Kobylanka      SRGK 1.4.1.1.</t>
  </si>
  <si>
    <t>1.3.2.9</t>
  </si>
  <si>
    <t>Modernizacja dachu i urządzenie terenu z miejscami parkingowymi przy Ośrodku Zdrowia</t>
  </si>
  <si>
    <t>Urząd Gminy Kobylanka     SRGK 3.3.2.1.</t>
  </si>
  <si>
    <t>1.3.2.10</t>
  </si>
  <si>
    <t>Przebudowa budynku Urzędu Gminy w Kobylance</t>
  </si>
  <si>
    <t>1.3.2.11</t>
  </si>
  <si>
    <t>Dokończenie budowy sieci kanalizacji sanitarnej w miejscowości Kobylanka</t>
  </si>
  <si>
    <t>1.3.2.12</t>
  </si>
  <si>
    <t>Budowa przystanków autobusowych na terenie Gminy Kobylanka</t>
  </si>
  <si>
    <t>Urząd Gminy Kobylanka     SRGK 3.3.3.1.</t>
  </si>
  <si>
    <t>1.3.2.13</t>
  </si>
  <si>
    <t>Budowa punktu przesiadkowego z zapleczem parkingowym w ramach SSOM</t>
  </si>
  <si>
    <t>Urząd Gminy Kobylanka      SRGK 3.3.3.2.</t>
  </si>
  <si>
    <t>1.3.2.14</t>
  </si>
  <si>
    <t>Modernizacja świetlicy wiejskiej w miejscowości Reptowo</t>
  </si>
  <si>
    <t>1.3.2.15</t>
  </si>
  <si>
    <t>Modernizacja świetlicy wiejskiej w Rekowie</t>
  </si>
  <si>
    <t>Urząd Gminy Kobylanka     SRGK 2.1.2.3.</t>
  </si>
  <si>
    <t>1.3.2.16</t>
  </si>
  <si>
    <t>Budowa boiska ze sztuczną nawierzchnią w Kunowie</t>
  </si>
  <si>
    <t>Urząd Gminy Kobylanka      SRGK 2.1.1.2.</t>
  </si>
  <si>
    <t>1.3.2.17</t>
  </si>
  <si>
    <t>Rozszerzenie monitoringu o miejsca szczególnie zagrożone, w tym ul Jeziorna w Morzyczynie</t>
  </si>
  <si>
    <t>Urząd Gminy Kobylanka      SRGK 3.6.1.1.</t>
  </si>
  <si>
    <r>
      <t xml:space="preserve">*) </t>
    </r>
    <r>
      <rPr>
        <b/>
        <sz val="9"/>
        <rFont val="Century Gothic"/>
        <family val="2"/>
        <charset val="238"/>
      </rPr>
      <t>n</t>
    </r>
    <r>
      <rPr>
        <sz val="9"/>
        <rFont val="Century Gothic"/>
        <family val="2"/>
        <charset val="238"/>
      </rPr>
      <t xml:space="preserve">-rok budżetowy; </t>
    </r>
    <r>
      <rPr>
        <b/>
        <sz val="9"/>
        <rFont val="Century Gothic"/>
        <family val="2"/>
        <charset val="238"/>
      </rPr>
      <t>n+1</t>
    </r>
    <r>
      <rPr>
        <sz val="9"/>
        <rFont val="Century Gothic"/>
        <family val="2"/>
        <charset val="238"/>
      </rPr>
      <t xml:space="preserve"> - rok następny po roku budżetowym; </t>
    </r>
    <r>
      <rPr>
        <b/>
        <sz val="9"/>
        <rFont val="Century Gothic"/>
        <family val="2"/>
        <charset val="238"/>
      </rPr>
      <t xml:space="preserve">n+2 </t>
    </r>
    <r>
      <rPr>
        <sz val="9"/>
        <rFont val="Century Gothic"/>
        <family val="2"/>
        <charset val="238"/>
      </rPr>
      <t>- dwa lata  po roku budżetowym;</t>
    </r>
    <r>
      <rPr>
        <b/>
        <sz val="9"/>
        <rFont val="Century Gothic"/>
        <family val="2"/>
        <charset val="238"/>
      </rPr>
      <t xml:space="preserve"> n+…</t>
    </r>
    <r>
      <rPr>
        <sz val="9"/>
        <rFont val="Century Gothic"/>
        <family val="2"/>
        <charset val="238"/>
      </rPr>
      <t xml:space="preserve"> - kolejny rok po roku budżetowym</t>
    </r>
  </si>
  <si>
    <t>1.3.1.7</t>
  </si>
  <si>
    <t>1.3.1.8</t>
  </si>
  <si>
    <t>1.3.1.9</t>
  </si>
  <si>
    <t>1.3.1.10</t>
  </si>
  <si>
    <t>Organizacja   ruchu na drogach gminnych ze szczególnym uwzględnieniem miejsc stwarzających zagrożenia oraz potrzeb mieszkańców wraz z uzupełnieniem koniecznego doświetlenia</t>
  </si>
  <si>
    <t>Modernizacja oświetlenia na terenie promenady nad j. Miedwie z zastosowaniem nowych technologii</t>
  </si>
  <si>
    <t xml:space="preserve"> -</t>
  </si>
  <si>
    <t>Ochrona wód jeziora Miedwie poprzez budowę sieci kanalizacyjnych i przebudowę oczyszczalni ścieków na obszarze aglomeracji Stargard Szczeciński 1.3 Oś Bielkowo</t>
  </si>
  <si>
    <t>Wykaz  przedsięwzięć  Gminy Kobylanka w latach 2014- 2023</t>
  </si>
  <si>
    <t xml:space="preserve">Wykonanie </t>
  </si>
  <si>
    <t>Plan 3 kw.</t>
  </si>
  <si>
    <t>X</t>
  </si>
  <si>
    <t>Nazwy serii (rysunki)</t>
  </si>
  <si>
    <t>Wyszczególnienie</t>
  </si>
  <si>
    <t>x</t>
  </si>
  <si>
    <t>Dochody ogółem</t>
  </si>
  <si>
    <t xml:space="preserve"> Dochody bieżące</t>
  </si>
  <si>
    <t>Dochody bieżące</t>
  </si>
  <si>
    <t xml:space="preserve">  dochody z tytułu udziału we wpływach z podatku dochodowego od osób fizycznych</t>
  </si>
  <si>
    <t>dochody z tytułu udziału we wpływach z podatku dochodowego od osób fizycznych</t>
  </si>
  <si>
    <t xml:space="preserve">  dochody z tytułu udziału we wpływach z podatku dochodowego od osób prawnych</t>
  </si>
  <si>
    <t>dochody z tytułu udziału we wpływach z podatku dochodowego od osób prawnych</t>
  </si>
  <si>
    <t>1.1.3</t>
  </si>
  <si>
    <t xml:space="preserve">  podatki i opłaty</t>
  </si>
  <si>
    <t>podatki i opłaty</t>
  </si>
  <si>
    <t>1.1.3.1</t>
  </si>
  <si>
    <t xml:space="preserve">   z podatku od nieruchomości</t>
  </si>
  <si>
    <t>z podatku od nieruchomości</t>
  </si>
  <si>
    <t>1.1.4</t>
  </si>
  <si>
    <t xml:space="preserve">  z subwencji ogólnej</t>
  </si>
  <si>
    <t>z subwencji ogólnej</t>
  </si>
  <si>
    <t>1.1.5</t>
  </si>
  <si>
    <t xml:space="preserve">  z tytułu dotacji i środków przeznaczonych na cele bieżące</t>
  </si>
  <si>
    <t>z tytułu dotacji i środków przeznaczonych na cele bieżące</t>
  </si>
  <si>
    <t xml:space="preserve">  Dochody majątkowe</t>
  </si>
  <si>
    <t>Dochody majątkowe, w tym</t>
  </si>
  <si>
    <t xml:space="preserve">  ze sprzedaży majątku</t>
  </si>
  <si>
    <t>ze sprzedaży majątku</t>
  </si>
  <si>
    <t xml:space="preserve">  z tytułu dotacji oraz środków przeznaczonych na inwestycje</t>
  </si>
  <si>
    <t>z tytułu dotacji oraz środków przeznaczonych na inwestycje</t>
  </si>
  <si>
    <t>Wydatki ogółem</t>
  </si>
  <si>
    <t>2.1</t>
  </si>
  <si>
    <t xml:space="preserve"> Wydatki bieżące</t>
  </si>
  <si>
    <t>Wydatki bieżące, w tym:</t>
  </si>
  <si>
    <t>2.1.1</t>
  </si>
  <si>
    <t xml:space="preserve">  z tytułu poręczeń i gwarancji</t>
  </si>
  <si>
    <t>z tytułu poręczeń i gwarancji</t>
  </si>
  <si>
    <t>2.1.1.1</t>
  </si>
  <si>
    <t xml:space="preserve">   w tym: gwarancje i poręczenia podlegające wyłączeniu z limitu spłaty zobowiązań, o którym mowa w art. 243 ustawy</t>
  </si>
  <si>
    <t>w tym: gwarancje i poręczenia podlegające wyłączeniu z limitu spłaty zobowiązań, o którym mowa w art. 243 ustawy</t>
  </si>
  <si>
    <t>2.1.2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</si>
  <si>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</si>
  <si>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</si>
  <si>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2.1.3</t>
  </si>
  <si>
    <t xml:space="preserve">  wydatki na obsługę długu, w tym:</t>
  </si>
  <si>
    <t>wydatki na obsługę długu, w tym:</t>
  </si>
  <si>
    <t>2.1.3.1</t>
  </si>
  <si>
    <t xml:space="preserve">   odsetki i dyskonto określone w art. 243 ust. 1 ustawy, w tym:</t>
  </si>
  <si>
    <t>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</si>
  <si>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</si>
  <si>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</si>
  <si>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</si>
  <si>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</si>
  <si>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</si>
  <si>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odsetki i dyskonto podlegające wyłączeniu z limitu spłaty zobowiązań, o którym mowa w art. 243 ustawy, z tytułu zobowiązań  zaciągniętych na wkład krajowy</t>
  </si>
  <si>
    <t>2.2</t>
  </si>
  <si>
    <t xml:space="preserve"> Wydatki majątkowe</t>
  </si>
  <si>
    <t>Wydatki majątkowe</t>
  </si>
  <si>
    <t>Wynik budżetu</t>
  </si>
  <si>
    <t>Przychody budżetu</t>
  </si>
  <si>
    <t>4.1</t>
  </si>
  <si>
    <t xml:space="preserve"> Nadwyżka budżetowa z lat ubiegłych</t>
  </si>
  <si>
    <t>Nadwyżka budżetowa z lat ubiegłych</t>
  </si>
  <si>
    <t>4.1.1</t>
  </si>
  <si>
    <t xml:space="preserve">  w tym na pokrycie deficytu budżetu</t>
  </si>
  <si>
    <t>w tym na pokrycie deficytu budżetu</t>
  </si>
  <si>
    <t>4.2</t>
  </si>
  <si>
    <t xml:space="preserve"> Wolne środki, o których mowa w art. 217 ust.2 pkt 6 ustawy</t>
  </si>
  <si>
    <t>Wolne środki, o których mowa w art. 217 ust.2 pkt 6 ustawy</t>
  </si>
  <si>
    <t>4.2.1</t>
  </si>
  <si>
    <t xml:space="preserve">   w tym na pokrycie deficytu budżetu</t>
  </si>
  <si>
    <t>4.3</t>
  </si>
  <si>
    <t xml:space="preserve">  Kredyty, pożyczki, emisja papierów wartościowych</t>
  </si>
  <si>
    <t>Kredyty, pożyczki, emisja papierów wartościowych</t>
  </si>
  <si>
    <t>4.3.1</t>
  </si>
  <si>
    <t>4.4</t>
  </si>
  <si>
    <t xml:space="preserve"> Inne przychody niezwiązane z zaciągnięciem długu</t>
  </si>
  <si>
    <t>4.4.1</t>
  </si>
  <si>
    <t>Rozchody budżetu</t>
  </si>
  <si>
    <t>5.1</t>
  </si>
  <si>
    <t xml:space="preserve"> Spłaty rat kapitałowych kredytów i pożyczek oraz wykup papierów wartościowych</t>
  </si>
  <si>
    <t>Spłaty rat kapitałowych kredytów i pożyczek oraz wykup papierów wartościowych</t>
  </si>
  <si>
    <t>5.1.1</t>
  </si>
  <si>
    <t xml:space="preserve">  w tym łączna kwota przypadających na dany rok kwot ustawowych wyłączeń z limitu spłaty zobowiązań, o którym mowa w art. 243 ustawy, z tego:</t>
  </si>
  <si>
    <t>w tym łączna kwota przypadających na dany rok kwot ustawowych wyłączeń z limitu spłaty zobowiązań, o którym mowa w art. 243 ustawy, z tego:</t>
  </si>
  <si>
    <t>5.1.1.1</t>
  </si>
  <si>
    <t xml:space="preserve">   kwota przypadających na dany rok kwot ustawowych wyłączeń określonych w art. 243 ust. 3 ustawy</t>
  </si>
  <si>
    <t>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</si>
  <si>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</si>
  <si>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</si>
  <si>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</si>
  <si>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</si>
  <si>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</si>
  <si>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kwota przypadających na dany rok kwot ustawowych wyłączeń innych niż określone w art. 243 ustawy</t>
  </si>
  <si>
    <t>5.2</t>
  </si>
  <si>
    <t xml:space="preserve"> Inne rozchody niezwiązane ze spłatą długu</t>
  </si>
  <si>
    <t>Kwota długu</t>
  </si>
  <si>
    <t>Kwota zobowiązań wynikających z przejęcia przez jednostkę samorządu terytorialnego zobowiązań po likwidowanych i przekształcanych jednostkach zaliczanych do sektora  finansów publicznych</t>
  </si>
  <si>
    <t>Relacja zrównoważenia wydatków bieżących, o której mowa w art. 242 ustawy</t>
  </si>
  <si>
    <t>8.1</t>
  </si>
  <si>
    <t xml:space="preserve"> Różnica między dochodami bieżącymi a  wydatkami bieżącymi</t>
  </si>
  <si>
    <t>Różnica między dochodami bieżącymi a  wydatkami bieżącymi</t>
  </si>
  <si>
    <t>8.2</t>
  </si>
  <si>
    <t xml:space="preserve"> Różnica między dochodami bieżącymi, skorygowanymi o środki a wydatkami bieżącymi, pomniejszonymi  o wydatki</t>
  </si>
  <si>
    <t>Różnica między dochodami bieżącymi, skorygowanymi o środki a wydatkami bieżącymi, pomniejszonymi  o wydatki</t>
  </si>
  <si>
    <t>Wskaźnik spłaty zobowiązań</t>
  </si>
  <si>
    <t>9.1</t>
  </si>
  <si>
    <t>(R+O) / D (bez wyłączeń)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</si>
  <si>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</si>
  <si>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9.2</t>
  </si>
  <si>
    <t>(R+O) / D (z wyłączeniami)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</si>
  <si>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</si>
  <si>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9.3</t>
  </si>
  <si>
    <t xml:space="preserve"> Kwota zobowiązań związku współtworzonego przez jednostkę samorządu terytorialnego przypadających do spłaty w danym roku budżetowym, podlegająca doliczeniu zgodnie z art. 244 ustawy</t>
  </si>
  <si>
    <t>Kwota zobowiązań związku współtworzonego przez jednostkę samorządu terytorialnego przypadających do spłaty w danym roku budżetowym, podlegająca doliczeniu zgodnie z art. 244 ustawy</t>
  </si>
  <si>
    <t>9.4</t>
  </si>
  <si>
    <t>(R+O) / D (z wyłączeniami i zobowiązaniami związków)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</si>
  <si>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</si>
  <si>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9.5</t>
  </si>
  <si>
    <t xml:space="preserve"> Wskaźnik dochodów bieżących powiększonych o dochody ze sprzedaży majątku oraz pomniejszonych o wydatki bieżące, do dochodów budżetu, ustalony dla danego roku (wskaźnik jednoroczny)</t>
  </si>
  <si>
    <t>Wskaźnik dochodów bieżących powiększonych o dochody ze sprzedaży majątku oraz pomniejszonych o wydatki bieżące, do dochodów budżetu, ustalony dla danego roku (wskaźnik jednoroczny)</t>
  </si>
  <si>
    <t>9.6</t>
  </si>
  <si>
    <t xml:space="preserve">Dopuszczalny wskaźnik spłaty zobowiązań z art. 243 ustawy, po uwzględnieniu ustawowych wyłączeń (planistyczny) 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</si>
  <si>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</si>
  <si>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>9.6.1</t>
  </si>
  <si>
    <t xml:space="preserve">Dopuszczalny wskaźnik spłaty zobowiązań z art. 243 ustawy, po uwzględnieniu ustawowych wyłączeń (wykonanie)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</si>
  <si>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</si>
  <si>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9.7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</si>
  <si>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</si>
  <si>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</si>
  <si>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9.7.1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</si>
  <si>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</si>
  <si>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</si>
  <si>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Przeznaczenie prognozowanej nadwyżki budżetowej,  w tym na:</t>
  </si>
  <si>
    <t>10.1</t>
  </si>
  <si>
    <t xml:space="preserve"> Spłaty kredytów, pożyczek i wykup papierów wartościowych</t>
  </si>
  <si>
    <t>Spłaty kredytów, pożyczek i wykup papierów wartościowych</t>
  </si>
  <si>
    <t>Informacje uzupełniające o wybranych rodzajach wydatków budżetowych</t>
  </si>
  <si>
    <t>11.1</t>
  </si>
  <si>
    <t xml:space="preserve"> Wydatki bieżące na wynagrodzenia i składki od nich naliczane</t>
  </si>
  <si>
    <t>Wydatki bieżące na wynagrodzenia i składki od nich naliczane</t>
  </si>
  <si>
    <t>11.2</t>
  </si>
  <si>
    <t xml:space="preserve"> Wydatki związane z funkcjonowaniem organów jednostki samorządu terytorialnego</t>
  </si>
  <si>
    <t>Wydatki związane z funkcjonowaniem organów jednostki samorządu terytorialnego</t>
  </si>
  <si>
    <t>11.3</t>
  </si>
  <si>
    <t xml:space="preserve"> Wydatki objęte limitem, o którym mowa w art. 226 ust. 3 pkt 4 ustawy</t>
  </si>
  <si>
    <t>Wydatki objęte limitem, o którym mowa w art. 226 ust. 3 pkt 4 ustawy</t>
  </si>
  <si>
    <t>11.3.1</t>
  </si>
  <si>
    <t xml:space="preserve">   Wydatki bieżące na przedsięwzięcia</t>
  </si>
  <si>
    <t>bieżące</t>
  </si>
  <si>
    <t>11.3.2</t>
  </si>
  <si>
    <t xml:space="preserve">   Wydatki majątkowe na przedsięwzięcia</t>
  </si>
  <si>
    <t>majątkowe</t>
  </si>
  <si>
    <t>11.4</t>
  </si>
  <si>
    <t xml:space="preserve"> Wydatki inwestycyjne kontynuowane </t>
  </si>
  <si>
    <t xml:space="preserve">Wydatki inwestycyjne kontynuowane </t>
  </si>
  <si>
    <t>11.5</t>
  </si>
  <si>
    <t xml:space="preserve"> Nowe wydatki inwestycyjne</t>
  </si>
  <si>
    <t>Nowe wydatki inwestycyjne</t>
  </si>
  <si>
    <t>11.6</t>
  </si>
  <si>
    <t xml:space="preserve"> Wydatki majątkowe w formie dotacji </t>
  </si>
  <si>
    <t xml:space="preserve">Wydatki majątkowe w formie dotacji </t>
  </si>
  <si>
    <t>Finansowanie programów, projektów lub zadań realizowanych z udziałem środków, o których mowa w art. 5 ust. 1 pkt 2 i 3 ustawy</t>
  </si>
  <si>
    <t>12.1</t>
  </si>
  <si>
    <t xml:space="preserve"> Dochody bieżące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</si>
  <si>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</si>
  <si>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</si>
  <si>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</si>
  <si>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</si>
  <si>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</si>
  <si>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</si>
  <si>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>- w tym środki określone w art. 5 ust. 1 pkt 2 ustawy wynikające wyłącznie z  zawartych umów na realizację programu, projektu lub zadania</t>
  </si>
  <si>
    <t>12.2</t>
  </si>
  <si>
    <t xml:space="preserve"> Dochody majątkowe  na programy, projekty lub zadania finansowane z udziałem środków, o których mowa w art. 5 ust. 1 pkt 2 i 3 ustawy</t>
  </si>
  <si>
    <t>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</si>
  <si>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</si>
  <si>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</si>
  <si>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</si>
  <si>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</si>
  <si>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>- w tym środki określone w art. 5 ust. 1 pkt 2 ustawy wynikające wyłącznie z zawartych umów na realizację programu, projektu lub zadania</t>
  </si>
  <si>
    <t>12.3</t>
  </si>
  <si>
    <t xml:space="preserve"> Wydatki bieżące na programy, projekty lub zadania finansowane z udziałem środków, o których mowa w art. 5 ust. 1 pkt 2 i 3 ustawy</t>
  </si>
  <si>
    <t>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</si>
  <si>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</si>
  <si>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</si>
  <si>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 xml:space="preserve">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</si>
  <si>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</si>
  <si>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</si>
  <si>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Wydatki bieżące na realizację programu, projektu lub zadania wynikające wyłącznie z zawartych umów z podmiotem dysponującym środkami, o których mowa w art. 5 ust. 1 pkt 2 ustawy </t>
  </si>
  <si>
    <t>12.4</t>
  </si>
  <si>
    <t xml:space="preserve"> Wydatki majątkowe na programy, projekty lub zadania finansowane z udziałem środków, o których mowa w art. 5 ust. 1 pkt 2 i 3 ustawy</t>
  </si>
  <si>
    <t>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</si>
  <si>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</si>
  <si>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</si>
  <si>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</si>
  <si>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</si>
  <si>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</si>
  <si>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Wydatki majątkowe na realizację programu, projektu lub zadania wynikające wyłącznie z zawartych umów z podmiotem dysponującym środkami, o których mowa w art. 5 ust. 1 pkt 2 ustawy 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</si>
  <si>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</si>
  <si>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</si>
  <si>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</si>
  <si>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</si>
  <si>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</si>
  <si>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</si>
  <si>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</si>
  <si>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</si>
  <si>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</si>
  <si>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</si>
  <si>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</si>
  <si>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</si>
  <si>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</si>
  <si>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</si>
  <si>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</si>
  <si>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</si>
  <si>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</si>
  <si>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</si>
  <si>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Kwoty dotyczące przejęcia i spłaty zobowiązań po samodzielnych publicznych zakładach opieki zdrowotnej oraz pokrycia ujemnego wyniku </t>
  </si>
  <si>
    <t>13.1</t>
  </si>
  <si>
    <t xml:space="preserve"> Kwota zobowiązań wynikających z przejęcia przez jednostkę samorządu terytorialnego zobowiązań po likwidowanych i przekształcanych samodzielnych zakładach opieki zdrowotnej</t>
  </si>
  <si>
    <t>Kwota zobowiązań wynikających z przejęcia przez jednostkę samorządu terytorialnego zobowiązań po likwidowanych i przekształcanych samodzielnych zakładach opieki zdrowotnej</t>
  </si>
  <si>
    <t>13.2</t>
  </si>
  <si>
    <t xml:space="preserve"> Dochody budżetowe z tytułu dotacji celowej z budżetu państwa, o której mowa w art. 196 ustawy z  dnia 15 kwietnia 2011 r.  o działalności leczniczej (Dz.U. Nr 112, poz. 654, z późn. zm.)</t>
  </si>
  <si>
    <t>Dochody budżetowe z tytułu dotacji celowej z budżetu państwa, o której mowa w art. 196 ustawy z  dnia 15 kwietnia 2011 r.  o działalności leczniczej (Dz.U. Nr 112, poz. 654, z późn. zm.)</t>
  </si>
  <si>
    <t>13.3</t>
  </si>
  <si>
    <t xml:space="preserve"> Wysokość zobowiązań podlegających umorzeniu, o którym mowa w art. 190 ustawy o działalności leczniczej</t>
  </si>
  <si>
    <t>Wysokość zobowiązań podlegających umorzeniu, o którym mowa w art. 190 ustawy o działalności leczniczej</t>
  </si>
  <si>
    <t>13.4</t>
  </si>
  <si>
    <t xml:space="preserve"> 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</si>
  <si>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przekształconego na zasadach określonych w przepisach  o działalności leczniczej</t>
  </si>
  <si>
    <t>13.5</t>
  </si>
  <si>
    <t xml:space="preserve"> Wydatki na spłatę przejętych zobowiązań samodzielnego publicznego zakładu opieki zdrowotnej likwidowanego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</si>
  <si>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</si>
  <si>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13.6</t>
  </si>
  <si>
    <t xml:space="preserve"> Wydatki na spłatę zobowiązań samodzielnego publicznego zakładu opieki zdrowotnej przejętych do końca 2011 r. na podstawie przepisów o zakładach opieki zdrowotnej</t>
  </si>
  <si>
    <t>Wydatki na spłatę zobowiązań samodzielnego publicznego zakładu opieki zdrowotnej przejętych do końca 2011 r. na podstawie przepisów o zakładach opieki zdrowotnej</t>
  </si>
  <si>
    <t>13.7</t>
  </si>
  <si>
    <t xml:space="preserve"> Wydatki bieżące na pokrycie ujemnego wyniku finansowego samodzielnego publicznego zakładu opieki zdrowotnej</t>
  </si>
  <si>
    <t>Wydatki bieżące na pokrycie ujemnego wyniku finansowego samodzielnego publicznego zakładu opieki zdrowotnej</t>
  </si>
  <si>
    <t>Dane uzupełniające o długu i jego spłacie</t>
  </si>
  <si>
    <t>14.1</t>
  </si>
  <si>
    <t xml:space="preserve"> Spłaty rat kapitałowych oraz wykup papierów wartościowych, o których mowa w pkt. 5.1., wynikające wyłącznie z tytułu zobowiązań już zaciągniętych</t>
  </si>
  <si>
    <t>Spłaty rat kapitałowych oraz wykup papierów wartościowych, o których mowa w pkt. 5.1., wynikające wyłącznie z tytułu zobowiązań już zaciągniętych</t>
  </si>
  <si>
    <t>14.2</t>
  </si>
  <si>
    <t xml:space="preserve"> Kwota długu, którego planowana spłata dokona się z wydatków budżetu</t>
  </si>
  <si>
    <t>Kwota długu, którego planowana spłata dokona się z wydatków budżetu</t>
  </si>
  <si>
    <t>14.3</t>
  </si>
  <si>
    <t xml:space="preserve"> Wydatki zmniejszające dług, w tym</t>
  </si>
  <si>
    <t>Wydatki zmniejszające dług, w tym</t>
  </si>
  <si>
    <t>14.3.1</t>
  </si>
  <si>
    <t xml:space="preserve">  spłata zobowiązań wymagalnych z lat poprzednich, innych niż w pkt 14.3.3</t>
  </si>
  <si>
    <t>spłata zobowiązań wymagalnych z lat poprzednich, innych niż w pkt 14.3.3</t>
  </si>
  <si>
    <t>14.3.2</t>
  </si>
  <si>
    <t xml:space="preserve">  związane z umowami zaliczanymi do tytułów dłużnych wliczanych do państwowego długu publicznego</t>
  </si>
  <si>
    <t>związane z umowami zaliczanymi do tytułów dłużnych wliczanych do państwowego długu publicznego</t>
  </si>
  <si>
    <t>14.3.3</t>
  </si>
  <si>
    <t xml:space="preserve">  wypłaty z tytułu wymagalnych poręczeń i gwarancji</t>
  </si>
  <si>
    <t>wypłaty z tytułu wymagalnych poręczeń i gwarancji</t>
  </si>
  <si>
    <t>14.4</t>
  </si>
  <si>
    <t xml:space="preserve"> Wynik operacji niekasowych wpływających na kwotę długu ( m.in. umorzenia, różnice kursowe)</t>
  </si>
  <si>
    <t>Wynik operacji niekasowych wpływających na kwotę długu ( m.in. umorzenia, różnice kursowe)</t>
  </si>
  <si>
    <t>Dane dotyczące emitowanych obligacji przychodowych</t>
  </si>
  <si>
    <t>15.1</t>
  </si>
  <si>
    <t xml:space="preserve"> Środki z przedsięwzięcia gromadzone na rachunku bankowym,  w tym:</t>
  </si>
  <si>
    <t>Środki z przedsięwzięcia gromadzone na rachunku bankowym,  w tym:</t>
  </si>
  <si>
    <t>15.1.1</t>
  </si>
  <si>
    <t xml:space="preserve">  środki na zaspokojenie roszczeń obligatariuszy</t>
  </si>
  <si>
    <t>środki na zaspokojenie roszczeń obligatariuszy</t>
  </si>
  <si>
    <t>15.2</t>
  </si>
  <si>
    <t>Wydatki bieżące z tytułu świadczenia emitenta należnego obligatariuszom,  nieuwzględniane  w limicie spłaty zobowiązań, o którym mowa w art. 243 ustawy</t>
  </si>
  <si>
    <t>UWAGA!</t>
  </si>
  <si>
    <t>Do symulacji prognozy i obserwacji zmian wskaźników z art. 243, 169 i 170 na podstawie danych wprowadzanych ręcznie służy arkusz "WPF_AnalizaWsk_Projektowanie"</t>
  </si>
  <si>
    <t>Weryfikacja danych wykazanych w tabeli Wieloletnia Prognoza Finansowa</t>
  </si>
  <si>
    <t>Reguła formalna</t>
  </si>
  <si>
    <t>Reguła rachunkowa</t>
  </si>
  <si>
    <t>Reguła logiczna</t>
  </si>
  <si>
    <t>Reguły kontrolne</t>
  </si>
  <si>
    <t>[1.1] + [4.1] + [4.2] &gt;= ([2.1] - [2.1.2])</t>
  </si>
  <si>
    <t>Spełnienie wskaźnika z art. 242</t>
  </si>
  <si>
    <t>[13.3] = 0 (dla lat 2014 i wyższych)</t>
  </si>
  <si>
    <t>Umorzenie zobowiązań, o którym mowa w art. 190 ustawy o działalności leczniczej nie wykracza poza ustawowy okres</t>
  </si>
  <si>
    <t>[1] + [4] - [2] - [5] = 0</t>
  </si>
  <si>
    <t>Kontrola poprawności zbilansowania budżetu</t>
  </si>
  <si>
    <t>[6]"n" = [6]"n-1" + [4.3]"n" - [5.1]"n" +  ([14.2]"n"-[14.2]"n-1") + [14.4]</t>
  </si>
  <si>
    <t>Kontrola poprawności wyliczenia kwoty długu</t>
  </si>
  <si>
    <t xml:space="preserve">[14.2] "n" =  ( [14.2]  "n-1" -  [14.3] "n" ) </t>
  </si>
  <si>
    <r>
      <t xml:space="preserve">Analiza zmiany kwoty długu spłacanego wydatkami budżetu 
</t>
    </r>
    <r>
      <rPr>
        <b/>
        <sz val="9"/>
        <rFont val="Czcionka tekstu podstawowego"/>
        <charset val="238"/>
      </rPr>
      <t xml:space="preserve">- wartości różne od zera wymagają objaśnienia </t>
    </r>
    <r>
      <rPr>
        <sz val="9"/>
        <rFont val="Czcionka tekstu podstawowego"/>
        <charset val="238"/>
      </rPr>
      <t xml:space="preserve">
   - wartości większe od zera wskazują na powstanie w roku prognozy nowego długu tego typu
   - wartości mniejsze od zera co do zasady nie powinny wystąpić</t>
    </r>
  </si>
  <si>
    <t>[13.1] "n"  -  ( [13.3] + [13.4] + [13.5] + [13.6] ) "n"  =  [13.1] "n-1"</t>
  </si>
  <si>
    <t>Porównanie na koniec roku prognozy stanu zobowiązań przejętych przez jst po likwidowanych i przekształcanych SP ZOZ z wydatkami i umorzeniami poniesionymi na ten cel ze stanem zobowiązań z okresu N-1</t>
  </si>
  <si>
    <t>jeśli [3] &lt; 0 to sprawdź czy [4.1.1] + [4.2.1] + [4.3.1] + [4.4.1] + [3] = 0</t>
  </si>
  <si>
    <t>Kontrola poprawności wykazania źródeł pokrycia deficytu</t>
  </si>
  <si>
    <t>jeśli [3] &gt;= 0 to sprawdź czy [4.1.1]=0 i [4.2.1]=0 i [4.3.1]=0 i  [4.4.1] = 0</t>
  </si>
  <si>
    <t>Kontrola poprawności niewykazania źródeł pokrycia deficytu przy nadwyżce budżetu</t>
  </si>
  <si>
    <t>[1.1.3] &gt;=  [1.1.3.1]</t>
  </si>
  <si>
    <t>Reguła logiczna:  [1.1.3] &gt;=  [1.1.3.1]</t>
  </si>
  <si>
    <t>[1.1.5] &gt;= [13.2]</t>
  </si>
  <si>
    <t>Reguła logiczna:  [1.1.5] &gt;= [13.2]</t>
  </si>
  <si>
    <t>[1.1] &gt;=  ([1.1.1] + [1.1.2] + [1.1.3] + [1.1.4] + [1.1.5])</t>
  </si>
  <si>
    <t>Reguła logiczna:  [1.1] &gt;=  ([1.1.1] + [1.1.2] + [1.1.3] + [1.1.4] + [1.1.5])</t>
  </si>
  <si>
    <t>[1.1] &gt;= [12.1]</t>
  </si>
  <si>
    <t>Reguła logiczna:  [1.1] &gt;= [12.1]</t>
  </si>
  <si>
    <t>[1.2] &gt;= [1.2.1]</t>
  </si>
  <si>
    <t>Reguła logiczna:  [1.2] &gt;= [1.2.1]</t>
  </si>
  <si>
    <t>[1.2] &gt;= [1.2.2]</t>
  </si>
  <si>
    <t>Reguła logiczna:  [1.2] &gt;= [1.2.2]</t>
  </si>
  <si>
    <t>[1.2] &gt;= [12.2]</t>
  </si>
  <si>
    <t>Reguła logiczna:  [1.2] &gt;= [12.2]</t>
  </si>
  <si>
    <t>Reguła logiczna: jeżeli [3] &gt;0 to [10] = [3]</t>
  </si>
  <si>
    <t>[10] &gt;= [10.1]</t>
  </si>
  <si>
    <t>Reguła logiczna:  [10] &gt;= [10.1]</t>
  </si>
  <si>
    <t>jeśli [10] &gt; 0 to powinno być [10.1] &gt; 0</t>
  </si>
  <si>
    <t>Reguła logiczna:  jeżeli [10] &gt; 0 to [10.1] &gt;0</t>
  </si>
  <si>
    <t>[12.1] &gt;= [12.1.1]</t>
  </si>
  <si>
    <t>Reguła logiczna:  [12.1] &gt;= [12.1.1]</t>
  </si>
  <si>
    <t>[12.1.1] &gt;= [12.1.1.1]</t>
  </si>
  <si>
    <t>Reguła logiczna:  [12.1.1] &gt;= [12.1.1.1]</t>
  </si>
  <si>
    <t>[12.2] &gt;= [12.2.1]</t>
  </si>
  <si>
    <t>Reguła logiczna:  [12.2] &gt;= [12.2.1]</t>
  </si>
  <si>
    <t>[12.2.1] &gt;= [12.2.1.1]</t>
  </si>
  <si>
    <t>Reguła logiczna:  [12.2.1] &gt;= [12.2.1.1]</t>
  </si>
  <si>
    <t>[12.3] &gt;= [12.3.1]</t>
  </si>
  <si>
    <t>Reguła logiczna:  [12.3] &gt;= [12.3.1]</t>
  </si>
  <si>
    <t>[12.3] &gt;= [12.3.2]</t>
  </si>
  <si>
    <t>Reguła logiczna:  [12.3] &gt;= [12.3.2]</t>
  </si>
  <si>
    <t>[12.4] &gt;= [12.4.1]</t>
  </si>
  <si>
    <t>Reguła logiczna:  [12.4] &gt;= [12.4.1]</t>
  </si>
  <si>
    <t>[12.4] &gt;= [12.4.2]</t>
  </si>
  <si>
    <t>Reguła logiczna:  [12.4] &gt;= [12.4.2]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</si>
  <si>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</si>
  <si>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</si>
  <si>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</si>
  <si>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</si>
  <si>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>[13.1] &gt;= [13.3]</t>
  </si>
  <si>
    <t>Reguła logiczna:  [13.1] &gt;= [13.3]</t>
  </si>
  <si>
    <t>[13.4] &gt;= [2.1.2]</t>
  </si>
  <si>
    <t>Reguła logiczna:  [13.4] &gt;= [2.1.2]</t>
  </si>
  <si>
    <t>[14.3] &gt;= [14.3.1] + [14.3.2] + [14.3.3]</t>
  </si>
  <si>
    <t>Reguła logiczna:  [14.3] &gt;= [14.3.1] + [14.3.2] + [14.3.3]</t>
  </si>
  <si>
    <t>Reguła logiczna:  [15.1] &gt;= [15.1.1]</t>
  </si>
  <si>
    <t>[2.1.1] &gt;= [2.1.1.1]</t>
  </si>
  <si>
    <t>Reguła logiczna:  [2.1.1] &gt;= [2.1.1.1]</t>
  </si>
  <si>
    <t>[2.1.1] &gt;= [14.3.3]</t>
  </si>
  <si>
    <t>Reguła logiczna:  [2.1.1] &gt;= [14.3.3]</t>
  </si>
  <si>
    <t xml:space="preserve">[2.1.3] &gt;= [2.1.3.1] </t>
  </si>
  <si>
    <t xml:space="preserve">Reguła logiczna:  [2.1.3] &gt;= [2.1.3.1] </t>
  </si>
  <si>
    <t xml:space="preserve">Reguła logiczna:  [2.1.3.1] &gt;= [2.1.3.1.1]+[2.1.3.1.2] </t>
  </si>
  <si>
    <t>[2.1] &gt;= ([2.1.1] + [2.1.2] + [2.1.3])</t>
  </si>
  <si>
    <t>Reguła logiczna:  [2.1] &gt;= ([2.1.1] + [2.1.2] + [2.1.3])</t>
  </si>
  <si>
    <t>[2.1] &gt;= [11.1]</t>
  </si>
  <si>
    <t>Reguła logiczna:  [2.1] &gt;= [11.1]</t>
  </si>
  <si>
    <t>[2.1] &gt;= [11.3.1]</t>
  </si>
  <si>
    <t>Reguła logiczna:  [2.1] &gt;= [11.3.1]</t>
  </si>
  <si>
    <t>[2.1] &gt;= [12.3]</t>
  </si>
  <si>
    <t>Reguła logiczna:  [2.1] &gt;= [12.3]</t>
  </si>
  <si>
    <t>[2.1] &gt;= [13.7]</t>
  </si>
  <si>
    <t>Reguła logiczna:  [2.1] &gt;= [13.7]</t>
  </si>
  <si>
    <t>[2.2] &gt;= [11.3.2]</t>
  </si>
  <si>
    <t>Reguła logiczna:  [2.2] &gt;= [11.3.2]</t>
  </si>
  <si>
    <t>[2.2] &gt;= [11.4] + [11.5]</t>
  </si>
  <si>
    <t>Reguła logiczna:  [2.2] &gt;= [11.4] + [11.5]</t>
  </si>
  <si>
    <t>[2.2] &gt;= [11.6]</t>
  </si>
  <si>
    <t>Reguła logiczna:  [2.2] &gt;= [11.6]</t>
  </si>
  <si>
    <t>[2.2] &gt;= [12.4]</t>
  </si>
  <si>
    <t>Reguła logiczna:  [2.2] &gt;= [12.4]</t>
  </si>
  <si>
    <t>[4.1] &gt;= [4.1.1]</t>
  </si>
  <si>
    <t>Reguła logiczna:  [4.1] &gt;= [4.1.1]</t>
  </si>
  <si>
    <t>[4.2] &gt;= [4.2.1]</t>
  </si>
  <si>
    <t>Reguła logiczna:  [4.2] &gt;= [4.2.1]</t>
  </si>
  <si>
    <t>[4.3] &gt;= [4.3.1]</t>
  </si>
  <si>
    <t>Reguła logiczna:  [4.3] &gt;= [4.3.1]</t>
  </si>
  <si>
    <t>[4.4] &gt;= [4.4.1]</t>
  </si>
  <si>
    <t>Reguła logiczna:  [4.4] &gt;= [4.4.1]</t>
  </si>
  <si>
    <t>[5.1] &gt;= [5.1.1]</t>
  </si>
  <si>
    <t>Reguła logiczna:  [5.1] &gt;= [5.1.1]</t>
  </si>
  <si>
    <t>[5.1] &gt;= [10.1]</t>
  </si>
  <si>
    <t>Reguła logiczna:  [5.1] &gt;= [10.1]</t>
  </si>
  <si>
    <t>[5.1] &gt;= [14.1]</t>
  </si>
  <si>
    <t>Reguła logiczna:  [5.1] &gt;= [14.1]</t>
  </si>
  <si>
    <t>[6] &gt;=[7]</t>
  </si>
  <si>
    <t>Reguła logiczna:  [6] &gt;=[7]</t>
  </si>
  <si>
    <t>[6] &gt;= [14.2]</t>
  </si>
  <si>
    <t>Reguła logiczna:  [6] &gt;= [14.2]</t>
  </si>
  <si>
    <t>7&gt;=13.1</t>
  </si>
  <si>
    <t>Reguła logiczna:  7&gt;=13.1</t>
  </si>
  <si>
    <t xml:space="preserve">jeżeli [2.1.3] &lt;&gt; 0 to  [2.1.3.1] &lt;&gt; 0 </t>
  </si>
  <si>
    <t xml:space="preserve">Reguła logiczna:  jeżeli [2.1.3] &lt;&gt; 0 to  [2.1.3.1] &lt;&gt; 0 </t>
  </si>
  <si>
    <t>Kontrola poprawności podstawowych kwot</t>
  </si>
  <si>
    <t>Dochody ogółem = bieżące + majątkowe</t>
  </si>
  <si>
    <t>Wydatki ogółem = bieżące + majątkowe</t>
  </si>
  <si>
    <t>Wynik budżetu = dochody ogółem - wydatki ogółem</t>
  </si>
  <si>
    <t>Wyliczenie kwoty długu</t>
  </si>
  <si>
    <t>Wyliczenie zobowiązań wynikających z przejęcia przez jst zobowiązań po likwidowanych i przekształcanych SZOZ</t>
  </si>
  <si>
    <t>Analiza ryzyka niespełnienia wskaźnika z art. 243</t>
  </si>
  <si>
    <t>Analiza składowych wzoru wskaźnika z art. 243</t>
  </si>
  <si>
    <r>
      <t xml:space="preserve">max. limit spłat </t>
    </r>
    <r>
      <rPr>
        <b/>
        <sz val="9"/>
        <color indexed="8"/>
        <rFont val="Times New Roman"/>
        <family val="1"/>
        <charset val="238"/>
      </rPr>
      <t>(planistyczny)</t>
    </r>
    <r>
      <rPr>
        <sz val="9"/>
        <color indexed="8"/>
        <rFont val="Times New Roman"/>
        <family val="1"/>
        <charset val="238"/>
      </rPr>
      <t xml:space="preserve"> - (R+O)/D </t>
    </r>
    <r>
      <rPr>
        <b/>
        <sz val="9"/>
        <color indexed="8"/>
        <rFont val="Times New Roman"/>
        <family val="1"/>
        <charset val="238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</si>
  <si>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  <charset val="238"/>
      </rPr>
      <t>(planistyczny)</t>
    </r>
    <r>
      <rPr>
        <sz val="9"/>
        <color indexed="8"/>
        <rFont val="Times New Roman"/>
        <family val="1"/>
        <charset val="238"/>
      </rPr>
      <t xml:space="preserve"> - (R+O)/D </t>
    </r>
    <r>
      <rPr>
        <b/>
        <sz val="9"/>
        <color indexed="8"/>
        <rFont val="Times New Roman"/>
        <family val="1"/>
        <charset val="238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</si>
  <si>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  <charset val="238"/>
      </rPr>
      <t>(wg wykonania)</t>
    </r>
    <r>
      <rPr>
        <sz val="9"/>
        <color indexed="8"/>
        <rFont val="Times New Roman"/>
        <family val="1"/>
        <charset val="238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</si>
  <si>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  <charset val="238"/>
      </rPr>
      <t>(wg wykonania)</t>
    </r>
    <r>
      <rPr>
        <sz val="9"/>
        <color indexed="8"/>
        <rFont val="Times New Roman"/>
        <family val="1"/>
        <charset val="238"/>
      </rPr>
      <t xml:space="preserve"> - (R+O)/D </t>
    </r>
    <r>
      <rPr>
        <b/>
        <sz val="9"/>
        <color indexed="8"/>
        <rFont val="Times New Roman"/>
        <family val="1"/>
        <charset val="238"/>
      </rPr>
      <t>(z wyłączeniami)</t>
    </r>
  </si>
  <si>
    <t>DYNAMIKA podstawowych wielkości z prognozy</t>
  </si>
  <si>
    <t>[N-1]pl3kw / [N-2]</t>
  </si>
  <si>
    <t>[N-1]wyk 
/ [N-1]pl3kw</t>
  </si>
  <si>
    <t>-</t>
  </si>
  <si>
    <t>dochody ogółem bez środków UE (fin. i współfin.)</t>
  </si>
  <si>
    <t>dochody bieżące bez środków UE (fin. i współfin.)</t>
  </si>
  <si>
    <t>dochody majątkowe bez środków UE (fin. i współfin.)</t>
  </si>
  <si>
    <t>dochody majątkowe bez środków UE (fin. i współfin.) 
i bez sprzedaży majątku</t>
  </si>
  <si>
    <t>dochody ze sprzedaży majątku</t>
  </si>
  <si>
    <t>wydatki ogółem bez wydatków na projekty finansowane i współfinansowane środkami UE</t>
  </si>
  <si>
    <t>wydatki bieżące ogółem</t>
  </si>
  <si>
    <t>wydatki bieżące ogółem bez wydatków na projekty współfinansowane środkami UE</t>
  </si>
  <si>
    <t>wydatki bieżące na wynagrodzenia i składki od nich naliczane</t>
  </si>
  <si>
    <t>pozostałe wydatki bieżące (wydatki bieżące bez wynagrodzeń i pochodnych oraz wydatków związanych z funkcjonowaniem organów jst, wydatków na obsługę długu  oraz poręczeń i gwarancji)</t>
  </si>
  <si>
    <t>WIELKOŚĆ ZMIAN w podstawowych kwotach prognozy</t>
  </si>
  <si>
    <t>[N-1]pl3kw 
- [N-2]</t>
  </si>
  <si>
    <t>[N-1]wyk 
- [N-1]pl3kw</t>
  </si>
  <si>
    <t>PODSTAWOWE wielkości ujęte w prognozie</t>
  </si>
  <si>
    <t>WIELOLETNIA PROGNOZA FINANSOWA  GMINY KOBYLANKA NA LATA 2014-2023</t>
  </si>
  <si>
    <t>Załącznik nr 1 do projektu Nr         uchwały Nr   Rady Gminy Kobylanka z dnia 27 marca 2014 r.</t>
  </si>
  <si>
    <t xml:space="preserve">Załącznik nr 3 do projektu Nr     uchwały Nr Rady Gminy Kobylanka z dnia 27 marca 2014r.       </t>
  </si>
</sst>
</file>

<file path=xl/styles.xml><?xml version="1.0" encoding="utf-8"?>
<styleSheet xmlns="http://schemas.openxmlformats.org/spreadsheetml/2006/main">
  <numFmts count="5"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0_ ;[Red]\-#,##0.00\ "/>
    <numFmt numFmtId="166" formatCode="0.00%;[Red]\-0.00%"/>
    <numFmt numFmtId="167" formatCode="0.0%"/>
  </numFmts>
  <fonts count="92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b/>
      <sz val="9"/>
      <name val="Calibri"/>
      <family val="2"/>
      <charset val="238"/>
      <scheme val="minor"/>
    </font>
    <font>
      <sz val="11"/>
      <color indexed="9"/>
      <name val="Czcionka tekstu podstawowego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indexed="62"/>
      <name val="Czcionka tekstu podstawowego"/>
      <family val="2"/>
      <charset val="238"/>
    </font>
    <font>
      <sz val="11"/>
      <color rgb="FF3F3F76"/>
      <name val="Calibri"/>
      <family val="2"/>
      <charset val="238"/>
      <scheme val="minor"/>
    </font>
    <font>
      <b/>
      <sz val="11"/>
      <color indexed="63"/>
      <name val="Czcionka tekstu podstawowego"/>
      <family val="2"/>
      <charset val="238"/>
    </font>
    <font>
      <b/>
      <sz val="11"/>
      <color rgb="FF3F3F3F"/>
      <name val="Calibri"/>
      <family val="2"/>
      <charset val="238"/>
      <scheme val="minor"/>
    </font>
    <font>
      <sz val="11"/>
      <color indexed="17"/>
      <name val="Czcionka tekstu podstawowego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indexed="52"/>
      <name val="Czcionka tekstu podstawowego"/>
      <family val="2"/>
      <charset val="238"/>
    </font>
    <font>
      <sz val="11"/>
      <color rgb="FFFA7D00"/>
      <name val="Calibri"/>
      <family val="2"/>
      <charset val="238"/>
      <scheme val="minor"/>
    </font>
    <font>
      <b/>
      <sz val="11"/>
      <color indexed="9"/>
      <name val="Czcionka tekstu podstawowego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5"/>
      <color indexed="56"/>
      <name val="Czcionka tekstu podstawowego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indexed="56"/>
      <name val="Czcionka tekstu podstawowego"/>
      <family val="2"/>
      <charset val="238"/>
    </font>
    <font>
      <b/>
      <sz val="13"/>
      <color theme="3"/>
      <name val="Calibri"/>
      <family val="2"/>
      <charset val="238"/>
      <scheme val="minor"/>
    </font>
    <font>
      <b/>
      <sz val="11"/>
      <color indexed="56"/>
      <name val="Czcionka tekstu podstawowego"/>
      <family val="2"/>
      <charset val="238"/>
    </font>
    <font>
      <b/>
      <sz val="11"/>
      <color theme="3"/>
      <name val="Calibri"/>
      <family val="2"/>
      <charset val="238"/>
      <scheme val="minor"/>
    </font>
    <font>
      <sz val="11"/>
      <color indexed="60"/>
      <name val="Czcionka tekstu podstawowego"/>
      <family val="2"/>
      <charset val="238"/>
    </font>
    <font>
      <sz val="11"/>
      <color rgb="FF9C6500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rgb="FFFA7D00"/>
      <name val="Calibri"/>
      <family val="2"/>
      <charset val="238"/>
      <scheme val="minor"/>
    </font>
    <font>
      <b/>
      <sz val="11"/>
      <color indexed="8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indexed="23"/>
      <name val="Czcionka tekstu podstawowego"/>
      <family val="2"/>
      <charset val="238"/>
    </font>
    <font>
      <i/>
      <sz val="11"/>
      <color rgb="FF7F7F7F"/>
      <name val="Calibri"/>
      <family val="2"/>
      <charset val="238"/>
      <scheme val="minor"/>
    </font>
    <font>
      <sz val="11"/>
      <color indexed="10"/>
      <name val="Czcionka tekstu podstawowego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rgb="FF9C0006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9"/>
      <name val="Century Gothic"/>
      <family val="2"/>
      <charset val="238"/>
    </font>
    <font>
      <i/>
      <u/>
      <sz val="9"/>
      <name val="Century Gothic"/>
      <family val="2"/>
      <charset val="238"/>
    </font>
    <font>
      <b/>
      <sz val="8"/>
      <name val="Century Gothic"/>
      <family val="2"/>
      <charset val="238"/>
    </font>
    <font>
      <sz val="10"/>
      <name val="Arial CE"/>
      <family val="2"/>
      <charset val="238"/>
    </font>
    <font>
      <i/>
      <sz val="8"/>
      <name val="Century Gothic"/>
      <family val="2"/>
      <charset val="238"/>
    </font>
    <font>
      <i/>
      <sz val="8"/>
      <name val="Arial CE"/>
      <charset val="238"/>
    </font>
    <font>
      <b/>
      <i/>
      <sz val="9"/>
      <name val="Century Gothic"/>
      <family val="2"/>
      <charset val="238"/>
    </font>
    <font>
      <sz val="11"/>
      <name val="Czcionka tekstu podstawowego"/>
      <family val="2"/>
      <charset val="238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name val="Century Gothic"/>
      <family val="2"/>
      <charset val="238"/>
    </font>
    <font>
      <b/>
      <sz val="9"/>
      <name val="Calibri"/>
      <family val="2"/>
      <charset val="238"/>
    </font>
    <font>
      <sz val="9"/>
      <name val="Century Gothic"/>
      <family val="2"/>
      <charset val="238"/>
    </font>
    <font>
      <b/>
      <i/>
      <sz val="8"/>
      <name val="Century Gothic"/>
      <family val="2"/>
      <charset val="238"/>
    </font>
    <font>
      <b/>
      <i/>
      <sz val="11"/>
      <color theme="1"/>
      <name val="Czcionka tekstu podstawowego"/>
      <family val="2"/>
      <charset val="238"/>
    </font>
    <font>
      <b/>
      <i/>
      <sz val="10"/>
      <color rgb="FFFF0000"/>
      <name val="Czcionka tekstu podstawowego"/>
      <charset val="238"/>
    </font>
    <font>
      <sz val="9"/>
      <color indexed="8"/>
      <name val="Czcionka tekstu podstawowego"/>
      <family val="2"/>
      <charset val="238"/>
    </font>
    <font>
      <b/>
      <sz val="10"/>
      <color indexed="8"/>
      <name val="Czcionka tekstu podstawowego"/>
      <charset val="238"/>
    </font>
    <font>
      <b/>
      <i/>
      <sz val="12"/>
      <color rgb="FFFF0000"/>
      <name val="Czcionka tekstu podstawowego"/>
      <charset val="238"/>
    </font>
    <font>
      <sz val="12"/>
      <color theme="1"/>
      <name val="Czcionka tekstu podstawowego"/>
      <charset val="238"/>
    </font>
    <font>
      <sz val="10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9"/>
      <color indexed="8"/>
      <name val="Czcionka tekstu podstawowego"/>
      <charset val="238"/>
    </font>
    <font>
      <b/>
      <sz val="12"/>
      <color indexed="8"/>
      <name val="Czcionka tekstu podstawowego"/>
      <charset val="238"/>
    </font>
    <font>
      <b/>
      <sz val="9"/>
      <color theme="1"/>
      <name val="Czcionka tekstu podstawowego"/>
      <charset val="238"/>
    </font>
    <font>
      <b/>
      <sz val="9"/>
      <color theme="1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11"/>
      <color indexed="8"/>
      <name val="Czcionka tekstu podstawowego"/>
      <charset val="238"/>
    </font>
    <font>
      <b/>
      <sz val="11"/>
      <color rgb="FFFF0000"/>
      <name val="Czcionka tekstu podstawowego"/>
      <charset val="238"/>
    </font>
    <font>
      <b/>
      <sz val="9"/>
      <color rgb="FFFF0000"/>
      <name val="Czcionka tekstu podstawowego"/>
      <charset val="238"/>
    </font>
    <font>
      <b/>
      <sz val="11"/>
      <name val="Czcionka tekstu podstawowego"/>
      <charset val="238"/>
    </font>
    <font>
      <sz val="9"/>
      <name val="Czcionka tekstu podstawowego"/>
      <charset val="238"/>
    </font>
    <font>
      <b/>
      <sz val="9"/>
      <name val="Czcionka tekstu podstawowego"/>
      <charset val="238"/>
    </font>
    <font>
      <sz val="9"/>
      <color theme="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zcionka tekstu podstawowego"/>
      <family val="2"/>
      <charset val="238"/>
    </font>
    <font>
      <b/>
      <sz val="9"/>
      <color theme="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9"/>
      <name val="Times New Roman"/>
      <family val="1"/>
      <charset val="238"/>
    </font>
    <font>
      <i/>
      <sz val="8"/>
      <color indexed="8"/>
      <name val="Czcionka tekstu podstawowego"/>
      <charset val="238"/>
    </font>
    <font>
      <b/>
      <sz val="11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9"/>
      <color indexed="8"/>
      <name val="Czcionka tekstu podstawowego"/>
      <charset val="238"/>
    </font>
    <font>
      <i/>
      <sz val="9"/>
      <color indexed="8"/>
      <name val="Czcionka tekstu podstawowego"/>
      <charset val="238"/>
    </font>
  </fonts>
  <fills count="6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9630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</fills>
  <borders count="9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12">
    <xf numFmtId="0" fontId="0" fillId="0" borderId="0"/>
    <xf numFmtId="0" fontId="5" fillId="0" borderId="0"/>
    <xf numFmtId="0" fontId="9" fillId="0" borderId="0"/>
    <xf numFmtId="0" fontId="6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34" borderId="0" applyNumberFormat="0" applyBorder="0" applyAlignment="0" applyProtection="0"/>
    <xf numFmtId="0" fontId="6" fillId="10" borderId="0" applyNumberFormat="0" applyBorder="0" applyAlignment="0" applyProtection="0"/>
    <xf numFmtId="0" fontId="9" fillId="35" borderId="0" applyNumberFormat="0" applyBorder="0" applyAlignment="0" applyProtection="0"/>
    <xf numFmtId="0" fontId="6" fillId="14" borderId="0" applyNumberFormat="0" applyBorder="0" applyAlignment="0" applyProtection="0"/>
    <xf numFmtId="0" fontId="9" fillId="36" borderId="0" applyNumberFormat="0" applyBorder="0" applyAlignment="0" applyProtection="0"/>
    <xf numFmtId="0" fontId="6" fillId="18" borderId="0" applyNumberFormat="0" applyBorder="0" applyAlignment="0" applyProtection="0"/>
    <xf numFmtId="0" fontId="9" fillId="37" borderId="0" applyNumberFormat="0" applyBorder="0" applyAlignment="0" applyProtection="0"/>
    <xf numFmtId="0" fontId="6" fillId="22" borderId="0" applyNumberFormat="0" applyBorder="0" applyAlignment="0" applyProtection="0"/>
    <xf numFmtId="0" fontId="9" fillId="38" borderId="0" applyNumberFormat="0" applyBorder="0" applyAlignment="0" applyProtection="0"/>
    <xf numFmtId="0" fontId="6" fillId="26" borderId="0" applyNumberFormat="0" applyBorder="0" applyAlignment="0" applyProtection="0"/>
    <xf numFmtId="0" fontId="9" fillId="39" borderId="0" applyNumberFormat="0" applyBorder="0" applyAlignment="0" applyProtection="0"/>
    <xf numFmtId="0" fontId="6" fillId="30" borderId="0" applyNumberFormat="0" applyBorder="0" applyAlignment="0" applyProtection="0"/>
    <xf numFmtId="0" fontId="9" fillId="40" borderId="0" applyNumberFormat="0" applyBorder="0" applyAlignment="0" applyProtection="0"/>
    <xf numFmtId="0" fontId="6" fillId="11" borderId="0" applyNumberFormat="0" applyBorder="0" applyAlignment="0" applyProtection="0"/>
    <xf numFmtId="0" fontId="9" fillId="41" borderId="0" applyNumberFormat="0" applyBorder="0" applyAlignment="0" applyProtection="0"/>
    <xf numFmtId="0" fontId="6" fillId="15" borderId="0" applyNumberFormat="0" applyBorder="0" applyAlignment="0" applyProtection="0"/>
    <xf numFmtId="0" fontId="9" fillId="42" borderId="0" applyNumberFormat="0" applyBorder="0" applyAlignment="0" applyProtection="0"/>
    <xf numFmtId="0" fontId="6" fillId="19" borderId="0" applyNumberFormat="0" applyBorder="0" applyAlignment="0" applyProtection="0"/>
    <xf numFmtId="0" fontId="9" fillId="37" borderId="0" applyNumberFormat="0" applyBorder="0" applyAlignment="0" applyProtection="0"/>
    <xf numFmtId="0" fontId="6" fillId="23" borderId="0" applyNumberFormat="0" applyBorder="0" applyAlignment="0" applyProtection="0"/>
    <xf numFmtId="0" fontId="9" fillId="40" borderId="0" applyNumberFormat="0" applyBorder="0" applyAlignment="0" applyProtection="0"/>
    <xf numFmtId="0" fontId="6" fillId="27" borderId="0" applyNumberFormat="0" applyBorder="0" applyAlignment="0" applyProtection="0"/>
    <xf numFmtId="0" fontId="9" fillId="43" borderId="0" applyNumberFormat="0" applyBorder="0" applyAlignment="0" applyProtection="0"/>
    <xf numFmtId="0" fontId="6" fillId="31" borderId="0" applyNumberFormat="0" applyBorder="0" applyAlignment="0" applyProtection="0"/>
    <xf numFmtId="0" fontId="11" fillId="44" borderId="0" applyNumberFormat="0" applyBorder="0" applyAlignment="0" applyProtection="0"/>
    <xf numFmtId="0" fontId="12" fillId="12" borderId="0" applyNumberFormat="0" applyBorder="0" applyAlignment="0" applyProtection="0"/>
    <xf numFmtId="0" fontId="11" fillId="41" borderId="0" applyNumberFormat="0" applyBorder="0" applyAlignment="0" applyProtection="0"/>
    <xf numFmtId="0" fontId="12" fillId="16" borderId="0" applyNumberFormat="0" applyBorder="0" applyAlignment="0" applyProtection="0"/>
    <xf numFmtId="0" fontId="11" fillId="42" borderId="0" applyNumberFormat="0" applyBorder="0" applyAlignment="0" applyProtection="0"/>
    <xf numFmtId="0" fontId="12" fillId="20" borderId="0" applyNumberFormat="0" applyBorder="0" applyAlignment="0" applyProtection="0"/>
    <xf numFmtId="0" fontId="11" fillId="45" borderId="0" applyNumberFormat="0" applyBorder="0" applyAlignment="0" applyProtection="0"/>
    <xf numFmtId="0" fontId="12" fillId="24" borderId="0" applyNumberFormat="0" applyBorder="0" applyAlignment="0" applyProtection="0"/>
    <xf numFmtId="0" fontId="11" fillId="46" borderId="0" applyNumberFormat="0" applyBorder="0" applyAlignment="0" applyProtection="0"/>
    <xf numFmtId="0" fontId="12" fillId="28" borderId="0" applyNumberFormat="0" applyBorder="0" applyAlignment="0" applyProtection="0"/>
    <xf numFmtId="0" fontId="11" fillId="47" borderId="0" applyNumberFormat="0" applyBorder="0" applyAlignment="0" applyProtection="0"/>
    <xf numFmtId="0" fontId="12" fillId="32" borderId="0" applyNumberFormat="0" applyBorder="0" applyAlignment="0" applyProtection="0"/>
    <xf numFmtId="0" fontId="11" fillId="48" borderId="0" applyNumberFormat="0" applyBorder="0" applyAlignment="0" applyProtection="0"/>
    <xf numFmtId="0" fontId="12" fillId="9" borderId="0" applyNumberFormat="0" applyBorder="0" applyAlignment="0" applyProtection="0"/>
    <xf numFmtId="0" fontId="11" fillId="49" borderId="0" applyNumberFormat="0" applyBorder="0" applyAlignment="0" applyProtection="0"/>
    <xf numFmtId="0" fontId="12" fillId="13" borderId="0" applyNumberFormat="0" applyBorder="0" applyAlignment="0" applyProtection="0"/>
    <xf numFmtId="0" fontId="11" fillId="50" borderId="0" applyNumberFormat="0" applyBorder="0" applyAlignment="0" applyProtection="0"/>
    <xf numFmtId="0" fontId="12" fillId="17" borderId="0" applyNumberFormat="0" applyBorder="0" applyAlignment="0" applyProtection="0"/>
    <xf numFmtId="0" fontId="11" fillId="45" borderId="0" applyNumberFormat="0" applyBorder="0" applyAlignment="0" applyProtection="0"/>
    <xf numFmtId="0" fontId="12" fillId="21" borderId="0" applyNumberFormat="0" applyBorder="0" applyAlignment="0" applyProtection="0"/>
    <xf numFmtId="0" fontId="11" fillId="46" borderId="0" applyNumberFormat="0" applyBorder="0" applyAlignment="0" applyProtection="0"/>
    <xf numFmtId="0" fontId="12" fillId="25" borderId="0" applyNumberFormat="0" applyBorder="0" applyAlignment="0" applyProtection="0"/>
    <xf numFmtId="0" fontId="11" fillId="51" borderId="0" applyNumberFormat="0" applyBorder="0" applyAlignment="0" applyProtection="0"/>
    <xf numFmtId="0" fontId="12" fillId="29" borderId="0" applyNumberFormat="0" applyBorder="0" applyAlignment="0" applyProtection="0"/>
    <xf numFmtId="0" fontId="13" fillId="39" borderId="12" applyNumberFormat="0" applyAlignment="0" applyProtection="0"/>
    <xf numFmtId="0" fontId="14" fillId="5" borderId="4" applyNumberFormat="0" applyAlignment="0" applyProtection="0"/>
    <xf numFmtId="0" fontId="15" fillId="52" borderId="13" applyNumberFormat="0" applyAlignment="0" applyProtection="0"/>
    <xf numFmtId="0" fontId="16" fillId="6" borderId="5" applyNumberFormat="0" applyAlignment="0" applyProtection="0"/>
    <xf numFmtId="0" fontId="17" fillId="36" borderId="0" applyNumberFormat="0" applyBorder="0" applyAlignment="0" applyProtection="0"/>
    <xf numFmtId="0" fontId="18" fillId="2" borderId="0" applyNumberFormat="0" applyBorder="0" applyAlignment="0" applyProtection="0"/>
    <xf numFmtId="0" fontId="19" fillId="0" borderId="14" applyNumberFormat="0" applyFill="0" applyAlignment="0" applyProtection="0"/>
    <xf numFmtId="0" fontId="20" fillId="0" borderId="6" applyNumberFormat="0" applyFill="0" applyAlignment="0" applyProtection="0"/>
    <xf numFmtId="0" fontId="21" fillId="53" borderId="15" applyNumberFormat="0" applyAlignment="0" applyProtection="0"/>
    <xf numFmtId="0" fontId="22" fillId="7" borderId="7" applyNumberFormat="0" applyAlignment="0" applyProtection="0"/>
    <xf numFmtId="0" fontId="23" fillId="0" borderId="16" applyNumberFormat="0" applyFill="0" applyAlignment="0" applyProtection="0"/>
    <xf numFmtId="0" fontId="24" fillId="0" borderId="1" applyNumberFormat="0" applyFill="0" applyAlignment="0" applyProtection="0"/>
    <xf numFmtId="0" fontId="25" fillId="0" borderId="17" applyNumberFormat="0" applyFill="0" applyAlignment="0" applyProtection="0"/>
    <xf numFmtId="0" fontId="26" fillId="0" borderId="2" applyNumberFormat="0" applyFill="0" applyAlignment="0" applyProtection="0"/>
    <xf numFmtId="0" fontId="27" fillId="0" borderId="18" applyNumberFormat="0" applyFill="0" applyAlignment="0" applyProtection="0"/>
    <xf numFmtId="0" fontId="28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54" borderId="0" applyNumberFormat="0" applyBorder="0" applyAlignment="0" applyProtection="0"/>
    <xf numFmtId="0" fontId="30" fillId="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1" fillId="0" borderId="0"/>
    <xf numFmtId="0" fontId="32" fillId="0" borderId="0"/>
    <xf numFmtId="0" fontId="32" fillId="0" borderId="0"/>
    <xf numFmtId="0" fontId="31" fillId="0" borderId="0" applyProtection="0"/>
    <xf numFmtId="0" fontId="9" fillId="0" borderId="0"/>
    <xf numFmtId="0" fontId="32" fillId="0" borderId="0"/>
    <xf numFmtId="0" fontId="32" fillId="0" borderId="0"/>
    <xf numFmtId="0" fontId="33" fillId="52" borderId="12" applyNumberFormat="0" applyAlignment="0" applyProtection="0"/>
    <xf numFmtId="0" fontId="34" fillId="6" borderId="4" applyNumberFormat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5" fillId="0" borderId="19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1" fillId="55" borderId="20" applyNumberFormat="0" applyFont="0" applyAlignment="0" applyProtection="0"/>
    <xf numFmtId="0" fontId="6" fillId="8" borderId="8" applyNumberFormat="0" applyFont="0" applyAlignment="0" applyProtection="0"/>
    <xf numFmtId="0" fontId="42" fillId="35" borderId="0" applyNumberFormat="0" applyBorder="0" applyAlignment="0" applyProtection="0"/>
    <xf numFmtId="0" fontId="43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531">
    <xf numFmtId="0" fontId="0" fillId="0" borderId="0" xfId="0"/>
    <xf numFmtId="0" fontId="5" fillId="0" borderId="0" xfId="104"/>
    <xf numFmtId="0" fontId="6" fillId="0" borderId="0" xfId="104" applyFont="1" applyAlignment="1">
      <alignment vertical="center"/>
    </xf>
    <xf numFmtId="0" fontId="46" fillId="0" borderId="0" xfId="104" applyFont="1" applyBorder="1" applyAlignment="1">
      <alignment horizontal="center" vertical="center" wrapText="1"/>
    </xf>
    <xf numFmtId="0" fontId="46" fillId="0" borderId="0" xfId="104" applyFont="1" applyAlignment="1">
      <alignment horizontal="center" vertical="center" wrapText="1"/>
    </xf>
    <xf numFmtId="0" fontId="47" fillId="0" borderId="0" xfId="104" applyFont="1" applyAlignment="1">
      <alignment horizontal="right"/>
    </xf>
    <xf numFmtId="0" fontId="5" fillId="0" borderId="0" xfId="104" applyAlignment="1">
      <alignment vertical="center"/>
    </xf>
    <xf numFmtId="0" fontId="49" fillId="0" borderId="0" xfId="104" applyFont="1" applyAlignment="1">
      <alignment vertical="center"/>
    </xf>
    <xf numFmtId="0" fontId="50" fillId="0" borderId="33" xfId="104" applyFont="1" applyBorder="1" applyAlignment="1">
      <alignment horizontal="center" vertical="center"/>
    </xf>
    <xf numFmtId="0" fontId="50" fillId="0" borderId="23" xfId="104" applyFont="1" applyBorder="1" applyAlignment="1">
      <alignment horizontal="center" vertical="center"/>
    </xf>
    <xf numFmtId="0" fontId="50" fillId="0" borderId="34" xfId="104" applyFont="1" applyBorder="1" applyAlignment="1">
      <alignment horizontal="center" vertical="center"/>
    </xf>
    <xf numFmtId="0" fontId="51" fillId="0" borderId="0" xfId="104" applyFont="1" applyAlignment="1">
      <alignment vertical="center"/>
    </xf>
    <xf numFmtId="0" fontId="46" fillId="0" borderId="35" xfId="104" applyFont="1" applyFill="1" applyBorder="1" applyAlignment="1">
      <alignment vertical="top"/>
    </xf>
    <xf numFmtId="164" fontId="48" fillId="0" borderId="31" xfId="105" applyNumberFormat="1" applyFont="1" applyFill="1" applyBorder="1" applyAlignment="1">
      <alignment vertical="center"/>
    </xf>
    <xf numFmtId="164" fontId="48" fillId="0" borderId="36" xfId="105" applyNumberFormat="1" applyFont="1" applyFill="1" applyBorder="1" applyAlignment="1">
      <alignment vertical="center"/>
    </xf>
    <xf numFmtId="0" fontId="5" fillId="0" borderId="0" xfId="104" applyFill="1" applyAlignment="1">
      <alignment vertical="center"/>
    </xf>
    <xf numFmtId="0" fontId="46" fillId="0" borderId="37" xfId="104" applyFont="1" applyFill="1" applyBorder="1" applyAlignment="1">
      <alignment vertical="top"/>
    </xf>
    <xf numFmtId="164" fontId="48" fillId="0" borderId="30" xfId="105" applyNumberFormat="1" applyFont="1" applyFill="1" applyBorder="1" applyAlignment="1">
      <alignment vertical="center"/>
    </xf>
    <xf numFmtId="164" fontId="48" fillId="0" borderId="38" xfId="105" applyNumberFormat="1" applyFont="1" applyFill="1" applyBorder="1" applyAlignment="1">
      <alignment vertical="center"/>
    </xf>
    <xf numFmtId="0" fontId="10" fillId="0" borderId="51" xfId="104" applyFont="1" applyFill="1" applyBorder="1" applyAlignment="1">
      <alignment vertical="top" wrapText="1"/>
    </xf>
    <xf numFmtId="0" fontId="10" fillId="0" borderId="23" xfId="104" applyFont="1" applyFill="1" applyBorder="1" applyAlignment="1">
      <alignment horizontal="center" vertical="center" wrapText="1"/>
    </xf>
    <xf numFmtId="0" fontId="10" fillId="0" borderId="23" xfId="104" applyFont="1" applyFill="1" applyBorder="1" applyAlignment="1">
      <alignment horizontal="center" vertical="center"/>
    </xf>
    <xf numFmtId="164" fontId="54" fillId="0" borderId="22" xfId="105" applyNumberFormat="1" applyFont="1" applyFill="1" applyBorder="1" applyAlignment="1">
      <alignment horizontal="center" vertical="center"/>
    </xf>
    <xf numFmtId="164" fontId="55" fillId="0" borderId="22" xfId="105" applyNumberFormat="1" applyFont="1" applyFill="1" applyBorder="1" applyAlignment="1">
      <alignment vertical="center"/>
    </xf>
    <xf numFmtId="164" fontId="56" fillId="0" borderId="22" xfId="105" applyNumberFormat="1" applyFont="1" applyFill="1" applyBorder="1" applyAlignment="1">
      <alignment horizontal="center" vertical="center"/>
    </xf>
    <xf numFmtId="164" fontId="48" fillId="0" borderId="22" xfId="105" applyNumberFormat="1" applyFont="1" applyFill="1" applyBorder="1" applyAlignment="1">
      <alignment horizontal="center" vertical="center"/>
    </xf>
    <xf numFmtId="164" fontId="55" fillId="0" borderId="38" xfId="105" applyNumberFormat="1" applyFont="1" applyFill="1" applyBorder="1" applyAlignment="1">
      <alignment horizontal="center" vertical="center"/>
    </xf>
    <xf numFmtId="0" fontId="46" fillId="0" borderId="35" xfId="104" applyFont="1" applyFill="1" applyBorder="1" applyAlignment="1">
      <alignment horizontal="center" vertical="top"/>
    </xf>
    <xf numFmtId="0" fontId="10" fillId="0" borderId="52" xfId="104" applyFont="1" applyFill="1" applyBorder="1" applyAlignment="1">
      <alignment vertical="top" wrapText="1"/>
    </xf>
    <xf numFmtId="0" fontId="10" fillId="0" borderId="29" xfId="104" applyFont="1" applyFill="1" applyBorder="1" applyAlignment="1">
      <alignment horizontal="center" vertical="center" wrapText="1"/>
    </xf>
    <xf numFmtId="0" fontId="10" fillId="0" borderId="29" xfId="104" applyFont="1" applyFill="1" applyBorder="1" applyAlignment="1">
      <alignment horizontal="center" vertical="center"/>
    </xf>
    <xf numFmtId="164" fontId="54" fillId="0" borderId="31" xfId="105" applyNumberFormat="1" applyFont="1" applyFill="1" applyBorder="1" applyAlignment="1">
      <alignment horizontal="center" vertical="center"/>
    </xf>
    <xf numFmtId="164" fontId="55" fillId="0" borderId="31" xfId="105" applyNumberFormat="1" applyFont="1" applyFill="1" applyBorder="1" applyAlignment="1">
      <alignment vertical="center"/>
    </xf>
    <xf numFmtId="164" fontId="55" fillId="0" borderId="31" xfId="105" applyNumberFormat="1" applyFont="1" applyFill="1" applyBorder="1" applyAlignment="1">
      <alignment horizontal="center" vertical="center"/>
    </xf>
    <xf numFmtId="0" fontId="40" fillId="0" borderId="0" xfId="104" applyFont="1" applyFill="1" applyAlignment="1">
      <alignment vertical="center"/>
    </xf>
    <xf numFmtId="0" fontId="10" fillId="0" borderId="30" xfId="104" applyFont="1" applyFill="1" applyBorder="1" applyAlignment="1">
      <alignment vertical="top" wrapText="1"/>
    </xf>
    <xf numFmtId="0" fontId="10" fillId="0" borderId="30" xfId="104" applyFont="1" applyFill="1" applyBorder="1" applyAlignment="1">
      <alignment horizontal="center" vertical="center" wrapText="1"/>
    </xf>
    <xf numFmtId="0" fontId="10" fillId="0" borderId="30" xfId="104" applyFont="1" applyFill="1" applyBorder="1" applyAlignment="1">
      <alignment horizontal="center" vertical="center"/>
    </xf>
    <xf numFmtId="164" fontId="54" fillId="0" borderId="29" xfId="105" applyNumberFormat="1" applyFont="1" applyFill="1" applyBorder="1" applyAlignment="1">
      <alignment vertical="center"/>
    </xf>
    <xf numFmtId="164" fontId="55" fillId="0" borderId="29" xfId="105" applyNumberFormat="1" applyFont="1" applyFill="1" applyBorder="1" applyAlignment="1">
      <alignment vertical="center"/>
    </xf>
    <xf numFmtId="164" fontId="54" fillId="0" borderId="53" xfId="105" applyNumberFormat="1" applyFont="1" applyFill="1" applyBorder="1" applyAlignment="1">
      <alignment horizontal="center" vertical="center"/>
    </xf>
    <xf numFmtId="164" fontId="54" fillId="0" borderId="29" xfId="105" applyNumberFormat="1" applyFont="1" applyFill="1" applyBorder="1" applyAlignment="1">
      <alignment horizontal="center" vertical="center"/>
    </xf>
    <xf numFmtId="0" fontId="6" fillId="0" borderId="0" xfId="104" applyFont="1" applyFill="1" applyAlignment="1">
      <alignment vertical="center"/>
    </xf>
    <xf numFmtId="0" fontId="10" fillId="0" borderId="31" xfId="0" applyFont="1" applyBorder="1" applyAlignment="1">
      <alignment vertical="center" wrapText="1"/>
    </xf>
    <xf numFmtId="0" fontId="10" fillId="56" borderId="31" xfId="104" applyFont="1" applyFill="1" applyBorder="1" applyAlignment="1">
      <alignment horizontal="center" vertical="center" wrapText="1"/>
    </xf>
    <xf numFmtId="0" fontId="10" fillId="0" borderId="31" xfId="104" applyFont="1" applyFill="1" applyBorder="1" applyAlignment="1">
      <alignment horizontal="center" vertical="center"/>
    </xf>
    <xf numFmtId="164" fontId="54" fillId="0" borderId="31" xfId="105" applyNumberFormat="1" applyFont="1" applyFill="1" applyBorder="1" applyAlignment="1">
      <alignment vertical="center"/>
    </xf>
    <xf numFmtId="164" fontId="55" fillId="0" borderId="30" xfId="105" applyNumberFormat="1" applyFont="1" applyFill="1" applyBorder="1" applyAlignment="1">
      <alignment vertical="center"/>
    </xf>
    <xf numFmtId="164" fontId="54" fillId="0" borderId="30" xfId="105" applyNumberFormat="1" applyFont="1" applyFill="1" applyBorder="1" applyAlignment="1">
      <alignment horizontal="center" vertical="center"/>
    </xf>
    <xf numFmtId="0" fontId="57" fillId="0" borderId="31" xfId="0" applyFont="1" applyBorder="1" applyAlignment="1">
      <alignment horizontal="left" vertical="center" wrapText="1"/>
    </xf>
    <xf numFmtId="0" fontId="57" fillId="0" borderId="30" xfId="0" applyFont="1" applyBorder="1" applyAlignment="1">
      <alignment horizontal="left" vertical="center" wrapText="1"/>
    </xf>
    <xf numFmtId="0" fontId="10" fillId="56" borderId="30" xfId="104" applyFont="1" applyFill="1" applyBorder="1" applyAlignment="1">
      <alignment horizontal="center" vertical="center" wrapText="1"/>
    </xf>
    <xf numFmtId="164" fontId="54" fillId="0" borderId="30" xfId="105" applyNumberFormat="1" applyFont="1" applyFill="1" applyBorder="1" applyAlignment="1">
      <alignment vertical="center"/>
    </xf>
    <xf numFmtId="164" fontId="55" fillId="0" borderId="30" xfId="105" applyNumberFormat="1" applyFont="1" applyFill="1" applyBorder="1" applyAlignment="1">
      <alignment horizontal="center" vertical="center"/>
    </xf>
    <xf numFmtId="164" fontId="48" fillId="56" borderId="30" xfId="105" applyNumberFormat="1" applyFont="1" applyFill="1" applyBorder="1" applyAlignment="1">
      <alignment vertical="center"/>
    </xf>
    <xf numFmtId="164" fontId="56" fillId="56" borderId="30" xfId="105" applyNumberFormat="1" applyFont="1" applyFill="1" applyBorder="1" applyAlignment="1">
      <alignment vertical="center"/>
    </xf>
    <xf numFmtId="164" fontId="54" fillId="56" borderId="30" xfId="105" applyNumberFormat="1" applyFont="1" applyFill="1" applyBorder="1" applyAlignment="1">
      <alignment horizontal="center" vertical="center"/>
    </xf>
    <xf numFmtId="0" fontId="7" fillId="0" borderId="0" xfId="104" applyFont="1" applyFill="1" applyAlignment="1">
      <alignment vertical="center"/>
    </xf>
    <xf numFmtId="0" fontId="10" fillId="56" borderId="31" xfId="104" applyFont="1" applyFill="1" applyBorder="1" applyAlignment="1">
      <alignment vertical="top" wrapText="1"/>
    </xf>
    <xf numFmtId="0" fontId="10" fillId="56" borderId="31" xfId="104" applyFont="1" applyFill="1" applyBorder="1" applyAlignment="1">
      <alignment horizontal="center" vertical="center"/>
    </xf>
    <xf numFmtId="164" fontId="54" fillId="56" borderId="31" xfId="105" applyNumberFormat="1" applyFont="1" applyFill="1" applyBorder="1" applyAlignment="1">
      <alignment vertical="center"/>
    </xf>
    <xf numFmtId="164" fontId="55" fillId="56" borderId="31" xfId="105" applyNumberFormat="1" applyFont="1" applyFill="1" applyBorder="1" applyAlignment="1"/>
    <xf numFmtId="164" fontId="54" fillId="56" borderId="31" xfId="105" applyNumberFormat="1" applyFont="1" applyFill="1" applyBorder="1" applyAlignment="1">
      <alignment horizontal="center" vertical="center"/>
    </xf>
    <xf numFmtId="164" fontId="55" fillId="56" borderId="31" xfId="105" applyNumberFormat="1" applyFont="1" applyFill="1" applyBorder="1" applyAlignment="1">
      <alignment vertical="center"/>
    </xf>
    <xf numFmtId="164" fontId="55" fillId="56" borderId="31" xfId="105" applyNumberFormat="1" applyFont="1" applyFill="1" applyBorder="1" applyAlignment="1">
      <alignment horizontal="center" vertical="center"/>
    </xf>
    <xf numFmtId="0" fontId="10" fillId="56" borderId="30" xfId="104" applyFont="1" applyFill="1" applyBorder="1" applyAlignment="1">
      <alignment vertical="top" wrapText="1"/>
    </xf>
    <xf numFmtId="0" fontId="10" fillId="56" borderId="30" xfId="104" applyFont="1" applyFill="1" applyBorder="1" applyAlignment="1">
      <alignment vertical="center" wrapText="1"/>
    </xf>
    <xf numFmtId="0" fontId="10" fillId="56" borderId="31" xfId="104" applyFont="1" applyFill="1" applyBorder="1" applyAlignment="1">
      <alignment vertical="center" wrapText="1"/>
    </xf>
    <xf numFmtId="0" fontId="10" fillId="0" borderId="31" xfId="104" applyFont="1" applyFill="1" applyBorder="1" applyAlignment="1">
      <alignment vertical="center" wrapText="1"/>
    </xf>
    <xf numFmtId="0" fontId="10" fillId="0" borderId="31" xfId="104" applyFont="1" applyFill="1" applyBorder="1" applyAlignment="1">
      <alignment horizontal="center" vertical="center" wrapText="1"/>
    </xf>
    <xf numFmtId="0" fontId="46" fillId="0" borderId="37" xfId="104" applyFont="1" applyFill="1" applyBorder="1" applyAlignment="1">
      <alignment horizontal="center" vertical="top"/>
    </xf>
    <xf numFmtId="0" fontId="10" fillId="56" borderId="30" xfId="104" applyFont="1" applyFill="1" applyBorder="1" applyAlignment="1">
      <alignment horizontal="center" vertical="center"/>
    </xf>
    <xf numFmtId="164" fontId="54" fillId="56" borderId="30" xfId="105" applyNumberFormat="1" applyFont="1" applyFill="1" applyBorder="1" applyAlignment="1">
      <alignment vertical="center"/>
    </xf>
    <xf numFmtId="164" fontId="55" fillId="56" borderId="29" xfId="105" applyNumberFormat="1" applyFont="1" applyFill="1" applyBorder="1" applyAlignment="1">
      <alignment vertical="center"/>
    </xf>
    <xf numFmtId="164" fontId="55" fillId="56" borderId="30" xfId="105" applyNumberFormat="1" applyFont="1" applyFill="1" applyBorder="1" applyAlignment="1">
      <alignment horizontal="center" vertical="center"/>
    </xf>
    <xf numFmtId="164" fontId="55" fillId="56" borderId="30" xfId="105" applyNumberFormat="1" applyFont="1" applyFill="1" applyBorder="1" applyAlignment="1">
      <alignment vertical="center"/>
    </xf>
    <xf numFmtId="164" fontId="54" fillId="56" borderId="29" xfId="105" applyNumberFormat="1" applyFont="1" applyFill="1" applyBorder="1" applyAlignment="1">
      <alignment horizontal="center" vertical="center"/>
    </xf>
    <xf numFmtId="0" fontId="10" fillId="56" borderId="54" xfId="104" applyFont="1" applyFill="1" applyBorder="1" applyAlignment="1">
      <alignment vertical="top" wrapText="1"/>
    </xf>
    <xf numFmtId="0" fontId="10" fillId="56" borderId="29" xfId="104" applyFont="1" applyFill="1" applyBorder="1" applyAlignment="1">
      <alignment horizontal="center" vertical="center" wrapText="1"/>
    </xf>
    <xf numFmtId="0" fontId="10" fillId="56" borderId="54" xfId="104" applyFont="1" applyFill="1" applyBorder="1" applyAlignment="1">
      <alignment horizontal="center" vertical="center"/>
    </xf>
    <xf numFmtId="0" fontId="10" fillId="56" borderId="55" xfId="104" applyFont="1" applyFill="1" applyBorder="1" applyAlignment="1">
      <alignment horizontal="center" vertical="center"/>
    </xf>
    <xf numFmtId="164" fontId="54" fillId="56" borderId="54" xfId="105" applyNumberFormat="1" applyFont="1" applyFill="1" applyBorder="1" applyAlignment="1">
      <alignment vertical="center"/>
    </xf>
    <xf numFmtId="164" fontId="55" fillId="56" borderId="54" xfId="105" applyNumberFormat="1" applyFont="1" applyFill="1" applyBorder="1" applyAlignment="1">
      <alignment vertical="center"/>
    </xf>
    <xf numFmtId="164" fontId="54" fillId="56" borderId="54" xfId="105" applyNumberFormat="1" applyFont="1" applyFill="1" applyBorder="1" applyAlignment="1">
      <alignment horizontal="center" vertical="center"/>
    </xf>
    <xf numFmtId="164" fontId="55" fillId="56" borderId="54" xfId="105" applyNumberFormat="1" applyFont="1" applyFill="1" applyBorder="1" applyAlignment="1">
      <alignment horizontal="center" vertical="center"/>
    </xf>
    <xf numFmtId="0" fontId="5" fillId="56" borderId="0" xfId="104" applyFill="1" applyAlignment="1">
      <alignment vertical="center"/>
    </xf>
    <xf numFmtId="0" fontId="8" fillId="56" borderId="0" xfId="104" applyFont="1" applyFill="1" applyAlignment="1">
      <alignment vertical="center"/>
    </xf>
    <xf numFmtId="164" fontId="60" fillId="56" borderId="0" xfId="104" applyNumberFormat="1" applyFont="1" applyFill="1" applyAlignment="1">
      <alignment vertical="center"/>
    </xf>
    <xf numFmtId="0" fontId="60" fillId="56" borderId="0" xfId="104" applyFont="1" applyFill="1" applyAlignment="1">
      <alignment vertical="center"/>
    </xf>
    <xf numFmtId="0" fontId="10" fillId="56" borderId="31" xfId="104" applyFont="1" applyFill="1" applyBorder="1" applyAlignment="1">
      <alignment horizontal="left" vertical="top" wrapText="1"/>
    </xf>
    <xf numFmtId="0" fontId="48" fillId="56" borderId="31" xfId="104" applyFont="1" applyFill="1" applyBorder="1" applyAlignment="1">
      <alignment horizontal="center" vertical="center"/>
    </xf>
    <xf numFmtId="164" fontId="48" fillId="56" borderId="31" xfId="105" applyNumberFormat="1" applyFont="1" applyFill="1" applyBorder="1" applyAlignment="1">
      <alignment vertical="center"/>
    </xf>
    <xf numFmtId="164" fontId="56" fillId="56" borderId="31" xfId="105" applyNumberFormat="1" applyFont="1" applyFill="1" applyBorder="1" applyAlignment="1">
      <alignment vertical="center"/>
    </xf>
    <xf numFmtId="0" fontId="10" fillId="56" borderId="30" xfId="104" applyFont="1" applyFill="1" applyBorder="1" applyAlignment="1">
      <alignment horizontal="left" vertical="top" wrapText="1"/>
    </xf>
    <xf numFmtId="0" fontId="48" fillId="56" borderId="30" xfId="104" applyFont="1" applyFill="1" applyBorder="1" applyAlignment="1">
      <alignment horizontal="center" vertical="center"/>
    </xf>
    <xf numFmtId="164" fontId="56" fillId="56" borderId="29" xfId="105" applyNumberFormat="1" applyFont="1" applyFill="1" applyBorder="1" applyAlignment="1">
      <alignment vertical="center"/>
    </xf>
    <xf numFmtId="0" fontId="10" fillId="56" borderId="29" xfId="104" applyNumberFormat="1" applyFont="1" applyFill="1" applyBorder="1" applyAlignment="1">
      <alignment horizontal="left" vertical="top" wrapText="1"/>
    </xf>
    <xf numFmtId="0" fontId="59" fillId="56" borderId="29" xfId="104" applyFont="1" applyFill="1" applyBorder="1" applyAlignment="1">
      <alignment horizontal="center" vertical="center"/>
    </xf>
    <xf numFmtId="164" fontId="48" fillId="56" borderId="29" xfId="105" applyNumberFormat="1" applyFont="1" applyFill="1" applyBorder="1" applyAlignment="1">
      <alignment vertical="center"/>
    </xf>
    <xf numFmtId="0" fontId="46" fillId="0" borderId="56" xfId="104" applyFont="1" applyFill="1" applyBorder="1" applyAlignment="1">
      <alignment vertical="top" wrapText="1"/>
    </xf>
    <xf numFmtId="164" fontId="48" fillId="0" borderId="53" xfId="105" applyNumberFormat="1" applyFont="1" applyFill="1" applyBorder="1" applyAlignment="1">
      <alignment vertical="center"/>
    </xf>
    <xf numFmtId="164" fontId="56" fillId="0" borderId="53" xfId="105" applyNumberFormat="1" applyFont="1" applyFill="1" applyBorder="1" applyAlignment="1">
      <alignment vertical="center"/>
    </xf>
    <xf numFmtId="164" fontId="56" fillId="0" borderId="52" xfId="105" applyNumberFormat="1" applyFont="1" applyFill="1" applyBorder="1" applyAlignment="1">
      <alignment vertical="center"/>
    </xf>
    <xf numFmtId="0" fontId="58" fillId="0" borderId="58" xfId="104" applyFont="1" applyFill="1" applyBorder="1" applyAlignment="1">
      <alignment vertical="top"/>
    </xf>
    <xf numFmtId="164" fontId="56" fillId="0" borderId="31" xfId="105" applyNumberFormat="1" applyFont="1" applyFill="1" applyBorder="1" applyAlignment="1">
      <alignment vertical="center"/>
    </xf>
    <xf numFmtId="0" fontId="58" fillId="0" borderId="55" xfId="104" applyFont="1" applyFill="1" applyBorder="1" applyAlignment="1">
      <alignment vertical="top"/>
    </xf>
    <xf numFmtId="164" fontId="56" fillId="0" borderId="54" xfId="105" applyNumberFormat="1" applyFont="1" applyFill="1" applyBorder="1" applyAlignment="1">
      <alignment vertical="center"/>
    </xf>
    <xf numFmtId="164" fontId="56" fillId="0" borderId="46" xfId="105" applyNumberFormat="1" applyFont="1" applyFill="1" applyBorder="1" applyAlignment="1">
      <alignment vertical="center"/>
    </xf>
    <xf numFmtId="0" fontId="46" fillId="0" borderId="51" xfId="104" applyFont="1" applyFill="1" applyBorder="1" applyAlignment="1">
      <alignment vertical="top" wrapText="1"/>
    </xf>
    <xf numFmtId="164" fontId="48" fillId="0" borderId="23" xfId="105" applyNumberFormat="1" applyFont="1" applyFill="1" applyBorder="1" applyAlignment="1">
      <alignment vertical="center"/>
    </xf>
    <xf numFmtId="164" fontId="56" fillId="0" borderId="23" xfId="105" applyNumberFormat="1" applyFont="1" applyFill="1" applyBorder="1" applyAlignment="1">
      <alignment vertical="center"/>
    </xf>
    <xf numFmtId="164" fontId="56" fillId="0" borderId="24" xfId="105" applyNumberFormat="1" applyFont="1" applyFill="1" applyBorder="1" applyAlignment="1">
      <alignment vertical="center"/>
    </xf>
    <xf numFmtId="0" fontId="10" fillId="56" borderId="37" xfId="104" applyFont="1" applyFill="1" applyBorder="1" applyAlignment="1">
      <alignment horizontal="center" vertical="top"/>
    </xf>
    <xf numFmtId="0" fontId="10" fillId="56" borderId="24" xfId="104" applyFont="1" applyFill="1" applyBorder="1" applyAlignment="1">
      <alignment vertical="top" wrapText="1"/>
    </xf>
    <xf numFmtId="0" fontId="10" fillId="56" borderId="22" xfId="104" applyFont="1" applyFill="1" applyBorder="1" applyAlignment="1">
      <alignment horizontal="center" vertical="center"/>
    </xf>
    <xf numFmtId="164" fontId="54" fillId="56" borderId="22" xfId="105" applyNumberFormat="1" applyFont="1" applyFill="1" applyBorder="1" applyAlignment="1">
      <alignment vertical="center"/>
    </xf>
    <xf numFmtId="164" fontId="55" fillId="56" borderId="22" xfId="105" applyNumberFormat="1" applyFont="1" applyFill="1" applyBorder="1" applyAlignment="1">
      <alignment vertical="center"/>
    </xf>
    <xf numFmtId="164" fontId="55" fillId="56" borderId="22" xfId="105" applyNumberFormat="1" applyFont="1" applyFill="1" applyBorder="1" applyAlignment="1">
      <alignment horizontal="center" vertical="center"/>
    </xf>
    <xf numFmtId="0" fontId="10" fillId="56" borderId="28" xfId="104" applyFont="1" applyFill="1" applyBorder="1" applyAlignment="1">
      <alignment horizontal="center" vertical="top"/>
    </xf>
    <xf numFmtId="0" fontId="10" fillId="56" borderId="52" xfId="104" applyFont="1" applyFill="1" applyBorder="1" applyAlignment="1">
      <alignment vertical="top" wrapText="1"/>
    </xf>
    <xf numFmtId="0" fontId="10" fillId="56" borderId="53" xfId="104" applyFont="1" applyFill="1" applyBorder="1" applyAlignment="1">
      <alignment horizontal="center" vertical="center" wrapText="1"/>
    </xf>
    <xf numFmtId="0" fontId="10" fillId="56" borderId="53" xfId="104" applyFont="1" applyFill="1" applyBorder="1" applyAlignment="1">
      <alignment horizontal="center" vertical="center"/>
    </xf>
    <xf numFmtId="164" fontId="54" fillId="56" borderId="53" xfId="105" applyNumberFormat="1" applyFont="1" applyFill="1" applyBorder="1" applyAlignment="1">
      <alignment vertical="center"/>
    </xf>
    <xf numFmtId="164" fontId="55" fillId="56" borderId="53" xfId="105" applyNumberFormat="1" applyFont="1" applyFill="1" applyBorder="1" applyAlignment="1">
      <alignment vertical="center"/>
    </xf>
    <xf numFmtId="164" fontId="55" fillId="56" borderId="53" xfId="105" applyNumberFormat="1" applyFont="1" applyFill="1" applyBorder="1" applyAlignment="1">
      <alignment horizontal="center" vertical="center"/>
    </xf>
    <xf numFmtId="164" fontId="55" fillId="0" borderId="32" xfId="105" applyNumberFormat="1" applyFont="1" applyFill="1" applyBorder="1" applyAlignment="1">
      <alignment horizontal="center" vertical="center"/>
    </xf>
    <xf numFmtId="0" fontId="10" fillId="56" borderId="29" xfId="104" applyFont="1" applyFill="1" applyBorder="1" applyAlignment="1">
      <alignment horizontal="center" vertical="center"/>
    </xf>
    <xf numFmtId="164" fontId="54" fillId="56" borderId="29" xfId="105" applyNumberFormat="1" applyFont="1" applyFill="1" applyBorder="1" applyAlignment="1">
      <alignment vertical="center"/>
    </xf>
    <xf numFmtId="164" fontId="55" fillId="56" borderId="29" xfId="105" applyNumberFormat="1" applyFont="1" applyFill="1" applyBorder="1" applyAlignment="1">
      <alignment horizontal="center" vertical="center"/>
    </xf>
    <xf numFmtId="0" fontId="10" fillId="56" borderId="61" xfId="104" applyFont="1" applyFill="1" applyBorder="1" applyAlignment="1">
      <alignment vertical="top" wrapText="1"/>
    </xf>
    <xf numFmtId="0" fontId="10" fillId="56" borderId="64" xfId="104" applyFont="1" applyFill="1" applyBorder="1" applyAlignment="1">
      <alignment horizontal="center" vertical="top"/>
    </xf>
    <xf numFmtId="0" fontId="10" fillId="56" borderId="55" xfId="104" applyFont="1" applyFill="1" applyBorder="1" applyAlignment="1">
      <alignment vertical="top" wrapText="1"/>
    </xf>
    <xf numFmtId="0" fontId="10" fillId="56" borderId="54" xfId="104" applyFont="1" applyFill="1" applyBorder="1" applyAlignment="1">
      <alignment horizontal="center" vertical="center" wrapText="1"/>
    </xf>
    <xf numFmtId="0" fontId="58" fillId="0" borderId="0" xfId="104" applyFont="1" applyFill="1" applyAlignment="1">
      <alignment vertical="center"/>
    </xf>
    <xf numFmtId="0" fontId="58" fillId="0" borderId="0" xfId="104" applyFont="1" applyAlignment="1">
      <alignment vertical="center"/>
    </xf>
    <xf numFmtId="164" fontId="58" fillId="0" borderId="0" xfId="104" applyNumberFormat="1" applyFont="1" applyAlignment="1">
      <alignment vertical="center"/>
    </xf>
    <xf numFmtId="0" fontId="58" fillId="33" borderId="0" xfId="104" applyFont="1" applyFill="1" applyAlignment="1">
      <alignment vertical="center"/>
    </xf>
    <xf numFmtId="164" fontId="58" fillId="33" borderId="0" xfId="104" applyNumberFormat="1" applyFont="1" applyFill="1" applyAlignment="1">
      <alignment vertical="center"/>
    </xf>
    <xf numFmtId="0" fontId="5" fillId="33" borderId="0" xfId="104" applyFill="1" applyAlignment="1">
      <alignment vertical="center"/>
    </xf>
    <xf numFmtId="0" fontId="48" fillId="33" borderId="35" xfId="104" applyFont="1" applyFill="1" applyBorder="1" applyAlignment="1">
      <alignment vertical="top"/>
    </xf>
    <xf numFmtId="164" fontId="48" fillId="33" borderId="31" xfId="105" applyNumberFormat="1" applyFont="1" applyFill="1" applyBorder="1" applyAlignment="1">
      <alignment vertical="center"/>
    </xf>
    <xf numFmtId="164" fontId="48" fillId="33" borderId="36" xfId="105" applyNumberFormat="1" applyFont="1" applyFill="1" applyBorder="1" applyAlignment="1">
      <alignment vertical="center"/>
    </xf>
    <xf numFmtId="0" fontId="44" fillId="0" borderId="0" xfId="104" applyFont="1" applyAlignment="1">
      <alignment horizontal="right" wrapText="1"/>
    </xf>
    <xf numFmtId="0" fontId="46" fillId="0" borderId="28" xfId="104" applyFont="1" applyFill="1" applyBorder="1" applyAlignment="1">
      <alignment horizontal="center" vertical="top"/>
    </xf>
    <xf numFmtId="0" fontId="46" fillId="0" borderId="21" xfId="104" applyFont="1" applyFill="1" applyBorder="1" applyAlignment="1">
      <alignment horizontal="center" vertical="top"/>
    </xf>
    <xf numFmtId="0" fontId="46" fillId="56" borderId="39" xfId="104" applyFont="1" applyFill="1" applyBorder="1" applyAlignment="1">
      <alignment vertical="top"/>
    </xf>
    <xf numFmtId="164" fontId="48" fillId="56" borderId="43" xfId="105" applyNumberFormat="1" applyFont="1" applyFill="1" applyBorder="1" applyAlignment="1">
      <alignment vertical="center"/>
    </xf>
    <xf numFmtId="164" fontId="48" fillId="56" borderId="44" xfId="105" applyNumberFormat="1" applyFont="1" applyFill="1" applyBorder="1" applyAlignment="1">
      <alignment vertical="center"/>
    </xf>
    <xf numFmtId="0" fontId="46" fillId="56" borderId="45" xfId="104" applyFont="1" applyFill="1" applyBorder="1" applyAlignment="1">
      <alignment vertical="top"/>
    </xf>
    <xf numFmtId="164" fontId="48" fillId="56" borderId="49" xfId="105" applyNumberFormat="1" applyFont="1" applyFill="1" applyBorder="1" applyAlignment="1">
      <alignment vertical="center"/>
    </xf>
    <xf numFmtId="164" fontId="48" fillId="56" borderId="50" xfId="105" applyNumberFormat="1" applyFont="1" applyFill="1" applyBorder="1" applyAlignment="1">
      <alignment vertical="center"/>
    </xf>
    <xf numFmtId="164" fontId="56" fillId="56" borderId="43" xfId="105" applyNumberFormat="1" applyFont="1" applyFill="1" applyBorder="1" applyAlignment="1">
      <alignment vertical="center"/>
    </xf>
    <xf numFmtId="164" fontId="56" fillId="56" borderId="44" xfId="105" applyNumberFormat="1" applyFont="1" applyFill="1" applyBorder="1" applyAlignment="1">
      <alignment vertical="center"/>
    </xf>
    <xf numFmtId="0" fontId="46" fillId="56" borderId="28" xfId="104" applyFont="1" applyFill="1" applyBorder="1" applyAlignment="1">
      <alignment vertical="top"/>
    </xf>
    <xf numFmtId="164" fontId="56" fillId="56" borderId="49" xfId="105" applyNumberFormat="1" applyFont="1" applyFill="1" applyBorder="1" applyAlignment="1">
      <alignment vertical="center"/>
    </xf>
    <xf numFmtId="164" fontId="56" fillId="56" borderId="50" xfId="105" applyNumberFormat="1" applyFont="1" applyFill="1" applyBorder="1" applyAlignment="1">
      <alignment vertical="center"/>
    </xf>
    <xf numFmtId="0" fontId="46" fillId="56" borderId="56" xfId="104" applyFont="1" applyFill="1" applyBorder="1" applyAlignment="1">
      <alignment vertical="top"/>
    </xf>
    <xf numFmtId="164" fontId="56" fillId="56" borderId="57" xfId="105" applyNumberFormat="1" applyFont="1" applyFill="1" applyBorder="1" applyAlignment="1">
      <alignment vertical="center"/>
    </xf>
    <xf numFmtId="164" fontId="56" fillId="56" borderId="32" xfId="105" applyNumberFormat="1" applyFont="1" applyFill="1" applyBorder="1" applyAlignment="1">
      <alignment vertical="center"/>
    </xf>
    <xf numFmtId="0" fontId="58" fillId="56" borderId="58" xfId="104" applyFont="1" applyFill="1" applyBorder="1" applyAlignment="1">
      <alignment vertical="top"/>
    </xf>
    <xf numFmtId="164" fontId="56" fillId="56" borderId="11" xfId="105" applyNumberFormat="1" applyFont="1" applyFill="1" applyBorder="1" applyAlignment="1">
      <alignment vertical="center"/>
    </xf>
    <xf numFmtId="164" fontId="56" fillId="56" borderId="53" xfId="105" applyNumberFormat="1" applyFont="1" applyFill="1" applyBorder="1" applyAlignment="1">
      <alignment vertical="center"/>
    </xf>
    <xf numFmtId="0" fontId="46" fillId="56" borderId="58" xfId="104" applyFont="1" applyFill="1" applyBorder="1" applyAlignment="1">
      <alignment vertical="top"/>
    </xf>
    <xf numFmtId="164" fontId="56" fillId="56" borderId="10" xfId="105" applyNumberFormat="1" applyFont="1" applyFill="1" applyBorder="1" applyAlignment="1">
      <alignment vertical="center"/>
    </xf>
    <xf numFmtId="0" fontId="58" fillId="56" borderId="61" xfId="104" applyFont="1" applyFill="1" applyBorder="1" applyAlignment="1">
      <alignment vertical="top"/>
    </xf>
    <xf numFmtId="164" fontId="56" fillId="56" borderId="62" xfId="105" applyNumberFormat="1" applyFont="1" applyFill="1" applyBorder="1" applyAlignment="1">
      <alignment vertical="center"/>
    </xf>
    <xf numFmtId="0" fontId="52" fillId="56" borderId="39" xfId="104" applyFont="1" applyFill="1" applyBorder="1" applyAlignment="1">
      <alignment vertical="top"/>
    </xf>
    <xf numFmtId="164" fontId="59" fillId="56" borderId="43" xfId="105" applyNumberFormat="1" applyFont="1" applyFill="1" applyBorder="1" applyAlignment="1">
      <alignment vertical="center"/>
    </xf>
    <xf numFmtId="164" fontId="59" fillId="56" borderId="44" xfId="105" applyNumberFormat="1" applyFont="1" applyFill="1" applyBorder="1" applyAlignment="1">
      <alignment vertical="center"/>
    </xf>
    <xf numFmtId="164" fontId="59" fillId="56" borderId="66" xfId="105" applyNumberFormat="1" applyFont="1" applyFill="1" applyBorder="1" applyAlignment="1">
      <alignment vertical="center"/>
    </xf>
    <xf numFmtId="164" fontId="55" fillId="0" borderId="36" xfId="105" applyNumberFormat="1" applyFont="1" applyFill="1" applyBorder="1" applyAlignment="1">
      <alignment horizontal="center" vertical="center"/>
    </xf>
    <xf numFmtId="0" fontId="46" fillId="56" borderId="35" xfId="104" applyFont="1" applyFill="1" applyBorder="1" applyAlignment="1">
      <alignment vertical="top"/>
    </xf>
    <xf numFmtId="0" fontId="10" fillId="56" borderId="35" xfId="104" applyFont="1" applyFill="1" applyBorder="1" applyAlignment="1">
      <alignment horizontal="center" vertical="top"/>
    </xf>
    <xf numFmtId="164" fontId="55" fillId="0" borderId="65" xfId="105" applyNumberFormat="1" applyFont="1" applyFill="1" applyBorder="1" applyAlignment="1">
      <alignment horizontal="center" vertical="center"/>
    </xf>
    <xf numFmtId="0" fontId="10" fillId="56" borderId="31" xfId="104" applyNumberFormat="1" applyFont="1" applyFill="1" applyBorder="1" applyAlignment="1">
      <alignment horizontal="left" vertical="top" wrapText="1"/>
    </xf>
    <xf numFmtId="0" fontId="52" fillId="56" borderId="31" xfId="104" applyFont="1" applyFill="1" applyBorder="1" applyAlignment="1">
      <alignment horizontal="center" vertical="center"/>
    </xf>
    <xf numFmtId="0" fontId="10" fillId="56" borderId="53" xfId="104" applyNumberFormat="1" applyFont="1" applyFill="1" applyBorder="1" applyAlignment="1">
      <alignment horizontal="left" vertical="top" wrapText="1"/>
    </xf>
    <xf numFmtId="0" fontId="48" fillId="56" borderId="53" xfId="104" applyFont="1" applyFill="1" applyBorder="1" applyAlignment="1">
      <alignment horizontal="center" vertical="center"/>
    </xf>
    <xf numFmtId="164" fontId="48" fillId="56" borderId="53" xfId="105" applyNumberFormat="1" applyFont="1" applyFill="1" applyBorder="1" applyAlignment="1">
      <alignment vertical="center"/>
    </xf>
    <xf numFmtId="164" fontId="59" fillId="56" borderId="40" xfId="105" applyNumberFormat="1" applyFont="1" applyFill="1" applyBorder="1" applyAlignment="1">
      <alignment vertical="center"/>
    </xf>
    <xf numFmtId="0" fontId="46" fillId="56" borderId="37" xfId="104" applyFont="1" applyFill="1" applyBorder="1" applyAlignment="1">
      <alignment vertical="top"/>
    </xf>
    <xf numFmtId="0" fontId="46" fillId="56" borderId="63" xfId="104" applyFont="1" applyFill="1" applyBorder="1" applyAlignment="1">
      <alignment vertical="top"/>
    </xf>
    <xf numFmtId="164" fontId="55" fillId="0" borderId="60" xfId="105" applyNumberFormat="1" applyFont="1" applyFill="1" applyBorder="1" applyAlignment="1">
      <alignment horizontal="center" vertical="center"/>
    </xf>
    <xf numFmtId="0" fontId="46" fillId="56" borderId="45" xfId="104" applyFont="1" applyFill="1" applyBorder="1" applyAlignment="1">
      <alignment horizontal="center" vertical="top"/>
    </xf>
    <xf numFmtId="164" fontId="56" fillId="56" borderId="31" xfId="105" applyNumberFormat="1" applyFont="1" applyFill="1" applyBorder="1" applyAlignment="1">
      <alignment horizontal="center" vertical="center"/>
    </xf>
    <xf numFmtId="0" fontId="1" fillId="0" borderId="0" xfId="111" applyAlignment="1">
      <alignment horizontal="center" vertical="center"/>
    </xf>
    <xf numFmtId="0" fontId="61" fillId="0" borderId="0" xfId="111" applyFont="1" applyProtection="1">
      <protection locked="0"/>
    </xf>
    <xf numFmtId="0" fontId="61" fillId="0" borderId="0" xfId="111" applyFont="1" applyAlignment="1" applyProtection="1">
      <protection locked="0"/>
    </xf>
    <xf numFmtId="0" fontId="1" fillId="0" borderId="0" xfId="111" applyProtection="1">
      <protection locked="0"/>
    </xf>
    <xf numFmtId="0" fontId="62" fillId="0" borderId="0" xfId="111" applyFont="1" applyProtection="1">
      <protection locked="0"/>
    </xf>
    <xf numFmtId="0" fontId="63" fillId="0" borderId="0" xfId="111" applyFont="1" applyAlignment="1" applyProtection="1">
      <alignment vertical="center"/>
      <protection locked="0"/>
    </xf>
    <xf numFmtId="0" fontId="1" fillId="0" borderId="0" xfId="111"/>
    <xf numFmtId="0" fontId="64" fillId="0" borderId="0" xfId="111" applyFont="1" applyProtection="1">
      <protection locked="0"/>
    </xf>
    <xf numFmtId="0" fontId="64" fillId="0" borderId="0" xfId="111" applyFont="1" applyAlignment="1" applyProtection="1">
      <protection locked="0"/>
    </xf>
    <xf numFmtId="0" fontId="65" fillId="0" borderId="0" xfId="111" applyFont="1" applyProtection="1">
      <protection locked="0"/>
    </xf>
    <xf numFmtId="0" fontId="1" fillId="0" borderId="0" xfId="111" applyAlignment="1" applyProtection="1">
      <protection locked="0"/>
    </xf>
    <xf numFmtId="0" fontId="66" fillId="0" borderId="0" xfId="111" applyFont="1" applyAlignment="1" applyProtection="1">
      <alignment horizontal="right"/>
      <protection locked="0"/>
    </xf>
    <xf numFmtId="0" fontId="62" fillId="0" borderId="0" xfId="111" applyFont="1" applyAlignment="1" applyProtection="1">
      <protection locked="0"/>
    </xf>
    <xf numFmtId="49" fontId="67" fillId="0" borderId="0" xfId="111" applyNumberFormat="1" applyFont="1" applyAlignment="1" applyProtection="1">
      <alignment vertical="center"/>
      <protection locked="0"/>
    </xf>
    <xf numFmtId="0" fontId="62" fillId="0" borderId="0" xfId="111" applyFont="1"/>
    <xf numFmtId="0" fontId="62" fillId="0" borderId="0" xfId="111" applyFont="1" applyAlignment="1"/>
    <xf numFmtId="0" fontId="62" fillId="0" borderId="0" xfId="111" applyFont="1" applyBorder="1" applyProtection="1">
      <protection locked="0"/>
    </xf>
    <xf numFmtId="0" fontId="67" fillId="0" borderId="67" xfId="111" applyFont="1" applyBorder="1" applyAlignment="1" applyProtection="1">
      <alignment horizontal="center" vertical="center" wrapText="1"/>
      <protection locked="0"/>
    </xf>
    <xf numFmtId="0" fontId="69" fillId="0" borderId="0" xfId="111" applyFont="1" applyBorder="1" applyAlignment="1" applyProtection="1">
      <alignment horizontal="left" vertical="center"/>
      <protection locked="0"/>
    </xf>
    <xf numFmtId="0" fontId="69" fillId="0" borderId="67" xfId="111" applyFont="1" applyBorder="1" applyAlignment="1" applyProtection="1">
      <alignment vertical="center" wrapText="1"/>
      <protection locked="0"/>
    </xf>
    <xf numFmtId="0" fontId="70" fillId="0" borderId="0" xfId="111" applyFont="1" applyAlignment="1">
      <alignment horizontal="left" vertical="center"/>
    </xf>
    <xf numFmtId="49" fontId="67" fillId="57" borderId="68" xfId="2" applyNumberFormat="1" applyFont="1" applyFill="1" applyBorder="1" applyAlignment="1">
      <alignment horizontal="center" vertical="center"/>
    </xf>
    <xf numFmtId="49" fontId="67" fillId="57" borderId="69" xfId="2" applyNumberFormat="1" applyFont="1" applyFill="1" applyBorder="1" applyAlignment="1" applyProtection="1">
      <alignment horizontal="center" vertical="center"/>
      <protection locked="0"/>
    </xf>
    <xf numFmtId="49" fontId="67" fillId="57" borderId="70" xfId="2" applyNumberFormat="1" applyFont="1" applyFill="1" applyBorder="1" applyAlignment="1">
      <alignment horizontal="center" vertical="center"/>
    </xf>
    <xf numFmtId="1" fontId="67" fillId="57" borderId="68" xfId="2" applyNumberFormat="1" applyFont="1" applyFill="1" applyBorder="1" applyAlignment="1">
      <alignment horizontal="center" vertical="center" wrapText="1"/>
    </xf>
    <xf numFmtId="1" fontId="67" fillId="57" borderId="71" xfId="2" applyNumberFormat="1" applyFont="1" applyFill="1" applyBorder="1" applyAlignment="1">
      <alignment horizontal="center" vertical="center" wrapText="1"/>
    </xf>
    <xf numFmtId="1" fontId="67" fillId="57" borderId="72" xfId="2" applyNumberFormat="1" applyFont="1" applyFill="1" applyBorder="1" applyAlignment="1">
      <alignment horizontal="center" vertical="center" wrapText="1"/>
    </xf>
    <xf numFmtId="1" fontId="67" fillId="57" borderId="73" xfId="2" applyNumberFormat="1" applyFont="1" applyFill="1" applyBorder="1" applyAlignment="1">
      <alignment horizontal="center" vertical="center"/>
    </xf>
    <xf numFmtId="1" fontId="67" fillId="57" borderId="71" xfId="2" applyNumberFormat="1" applyFont="1" applyFill="1" applyBorder="1" applyAlignment="1">
      <alignment horizontal="center" vertical="center"/>
    </xf>
    <xf numFmtId="1" fontId="67" fillId="57" borderId="72" xfId="2" applyNumberFormat="1" applyFont="1" applyFill="1" applyBorder="1" applyAlignment="1">
      <alignment horizontal="center" vertical="center"/>
    </xf>
    <xf numFmtId="0" fontId="1" fillId="0" borderId="0" xfId="111" applyFont="1"/>
    <xf numFmtId="0" fontId="71" fillId="0" borderId="74" xfId="111" applyFont="1" applyBorder="1" applyAlignment="1">
      <alignment horizontal="left" vertical="center"/>
    </xf>
    <xf numFmtId="0" fontId="71" fillId="0" borderId="75" xfId="111" applyFont="1" applyBorder="1" applyAlignment="1" applyProtection="1">
      <alignment horizontal="left" vertical="center"/>
      <protection locked="0"/>
    </xf>
    <xf numFmtId="0" fontId="71" fillId="0" borderId="76" xfId="111" applyFont="1" applyBorder="1" applyAlignment="1">
      <alignment vertical="center" wrapText="1"/>
    </xf>
    <xf numFmtId="165" fontId="72" fillId="58" borderId="74" xfId="2" applyNumberFormat="1" applyFont="1" applyFill="1" applyBorder="1" applyAlignment="1">
      <alignment vertical="center" shrinkToFit="1"/>
    </xf>
    <xf numFmtId="165" fontId="72" fillId="58" borderId="77" xfId="2" applyNumberFormat="1" applyFont="1" applyFill="1" applyBorder="1" applyAlignment="1">
      <alignment vertical="center" shrinkToFit="1"/>
    </xf>
    <xf numFmtId="165" fontId="72" fillId="58" borderId="78" xfId="2" applyNumberFormat="1" applyFont="1" applyFill="1" applyBorder="1" applyAlignment="1">
      <alignment vertical="center" shrinkToFit="1"/>
    </xf>
    <xf numFmtId="165" fontId="72" fillId="0" borderId="79" xfId="2" applyNumberFormat="1" applyFont="1" applyFill="1" applyBorder="1" applyAlignment="1">
      <alignment vertical="center" shrinkToFit="1"/>
    </xf>
    <xf numFmtId="165" fontId="72" fillId="0" borderId="77" xfId="2" applyNumberFormat="1" applyFont="1" applyFill="1" applyBorder="1" applyAlignment="1">
      <alignment vertical="center" shrinkToFit="1"/>
    </xf>
    <xf numFmtId="165" fontId="72" fillId="0" borderId="78" xfId="2" applyNumberFormat="1" applyFont="1" applyFill="1" applyBorder="1" applyAlignment="1">
      <alignment vertical="center" shrinkToFit="1"/>
    </xf>
    <xf numFmtId="0" fontId="8" fillId="0" borderId="0" xfId="111" applyFont="1"/>
    <xf numFmtId="0" fontId="73" fillId="0" borderId="74" xfId="111" applyFont="1" applyBorder="1" applyAlignment="1">
      <alignment horizontal="left" vertical="center"/>
    </xf>
    <xf numFmtId="0" fontId="73" fillId="33" borderId="75" xfId="111" applyFont="1" applyFill="1" applyBorder="1" applyAlignment="1" applyProtection="1">
      <alignment horizontal="left" vertical="center"/>
      <protection locked="0"/>
    </xf>
    <xf numFmtId="0" fontId="73" fillId="0" borderId="75" xfId="111" applyFont="1" applyBorder="1" applyAlignment="1">
      <alignment horizontal="left" vertical="center" wrapText="1" indent="1"/>
    </xf>
    <xf numFmtId="165" fontId="74" fillId="58" borderId="74" xfId="2" applyNumberFormat="1" applyFont="1" applyFill="1" applyBorder="1" applyAlignment="1">
      <alignment vertical="center" shrinkToFit="1"/>
    </xf>
    <xf numFmtId="165" fontId="74" fillId="58" borderId="77" xfId="2" applyNumberFormat="1" applyFont="1" applyFill="1" applyBorder="1" applyAlignment="1">
      <alignment vertical="center" shrinkToFit="1"/>
    </xf>
    <xf numFmtId="165" fontId="74" fillId="58" borderId="78" xfId="2" applyNumberFormat="1" applyFont="1" applyFill="1" applyBorder="1" applyAlignment="1">
      <alignment vertical="center" shrinkToFit="1"/>
    </xf>
    <xf numFmtId="165" fontId="74" fillId="0" borderId="79" xfId="2" applyNumberFormat="1" applyFont="1" applyFill="1" applyBorder="1" applyAlignment="1">
      <alignment vertical="center" shrinkToFit="1"/>
    </xf>
    <xf numFmtId="165" fontId="74" fillId="0" borderId="77" xfId="2" applyNumberFormat="1" applyFont="1" applyFill="1" applyBorder="1" applyAlignment="1">
      <alignment vertical="center" shrinkToFit="1"/>
    </xf>
    <xf numFmtId="165" fontId="74" fillId="0" borderId="78" xfId="2" applyNumberFormat="1" applyFont="1" applyFill="1" applyBorder="1" applyAlignment="1">
      <alignment vertical="center" shrinkToFit="1"/>
    </xf>
    <xf numFmtId="0" fontId="73" fillId="0" borderId="75" xfId="111" applyFont="1" applyBorder="1" applyAlignment="1" applyProtection="1">
      <alignment horizontal="left" vertical="center"/>
      <protection locked="0"/>
    </xf>
    <xf numFmtId="0" fontId="73" fillId="0" borderId="75" xfId="111" applyFont="1" applyBorder="1" applyAlignment="1">
      <alignment horizontal="left" vertical="center" wrapText="1" indent="2"/>
    </xf>
    <xf numFmtId="0" fontId="73" fillId="0" borderId="75" xfId="111" applyFont="1" applyBorder="1" applyAlignment="1">
      <alignment horizontal="left" vertical="center" wrapText="1" indent="3"/>
    </xf>
    <xf numFmtId="0" fontId="73" fillId="0" borderId="75" xfId="111" applyFont="1" applyBorder="1" applyAlignment="1">
      <alignment horizontal="left" vertical="center" wrapText="1" indent="4"/>
    </xf>
    <xf numFmtId="165" fontId="72" fillId="58" borderId="74" xfId="2" applyNumberFormat="1" applyFont="1" applyFill="1" applyBorder="1" applyAlignment="1">
      <alignment horizontal="center" vertical="center" shrinkToFit="1"/>
    </xf>
    <xf numFmtId="165" fontId="72" fillId="58" borderId="77" xfId="2" applyNumberFormat="1" applyFont="1" applyFill="1" applyBorder="1" applyAlignment="1">
      <alignment horizontal="center" vertical="center" shrinkToFit="1"/>
    </xf>
    <xf numFmtId="165" fontId="72" fillId="58" borderId="78" xfId="2" applyNumberFormat="1" applyFont="1" applyFill="1" applyBorder="1" applyAlignment="1">
      <alignment horizontal="center" vertical="center" shrinkToFit="1"/>
    </xf>
    <xf numFmtId="165" fontId="72" fillId="0" borderId="79" xfId="2" applyNumberFormat="1" applyFont="1" applyFill="1" applyBorder="1" applyAlignment="1">
      <alignment horizontal="center" vertical="center" shrinkToFit="1"/>
    </xf>
    <xf numFmtId="165" fontId="72" fillId="0" borderId="77" xfId="2" applyNumberFormat="1" applyFont="1" applyFill="1" applyBorder="1" applyAlignment="1">
      <alignment horizontal="center" vertical="center" shrinkToFit="1"/>
    </xf>
    <xf numFmtId="165" fontId="72" fillId="0" borderId="78" xfId="2" applyNumberFormat="1" applyFont="1" applyFill="1" applyBorder="1" applyAlignment="1">
      <alignment horizontal="center" vertical="center" shrinkToFit="1"/>
    </xf>
    <xf numFmtId="166" fontId="74" fillId="58" borderId="74" xfId="2" applyNumberFormat="1" applyFont="1" applyFill="1" applyBorder="1" applyAlignment="1">
      <alignment vertical="center" shrinkToFit="1"/>
    </xf>
    <xf numFmtId="166" fontId="74" fillId="58" borderId="77" xfId="2" applyNumberFormat="1" applyFont="1" applyFill="1" applyBorder="1" applyAlignment="1">
      <alignment vertical="center" shrinkToFit="1"/>
    </xf>
    <xf numFmtId="166" fontId="74" fillId="58" borderId="78" xfId="2" applyNumberFormat="1" applyFont="1" applyFill="1" applyBorder="1" applyAlignment="1">
      <alignment vertical="center" shrinkToFit="1"/>
    </xf>
    <xf numFmtId="166" fontId="74" fillId="0" borderId="79" xfId="2" applyNumberFormat="1" applyFont="1" applyFill="1" applyBorder="1" applyAlignment="1">
      <alignment vertical="center" shrinkToFit="1"/>
    </xf>
    <xf numFmtId="166" fontId="74" fillId="0" borderId="77" xfId="2" applyNumberFormat="1" applyFont="1" applyFill="1" applyBorder="1" applyAlignment="1">
      <alignment vertical="center" shrinkToFit="1"/>
    </xf>
    <xf numFmtId="166" fontId="74" fillId="0" borderId="78" xfId="2" applyNumberFormat="1" applyFont="1" applyFill="1" applyBorder="1" applyAlignment="1">
      <alignment vertical="center" shrinkToFit="1"/>
    </xf>
    <xf numFmtId="0" fontId="73" fillId="0" borderId="74" xfId="111" applyFont="1" applyBorder="1" applyAlignment="1" applyProtection="1">
      <alignment horizontal="left" vertical="center"/>
      <protection locked="0"/>
    </xf>
    <xf numFmtId="0" fontId="73" fillId="0" borderId="76" xfId="111" applyFont="1" applyBorder="1" applyAlignment="1" applyProtection="1">
      <alignment horizontal="left" vertical="center" wrapText="1" indent="1"/>
      <protection locked="0"/>
    </xf>
    <xf numFmtId="0" fontId="74" fillId="0" borderId="79" xfId="2" applyNumberFormat="1" applyFont="1" applyFill="1" applyBorder="1" applyAlignment="1">
      <alignment horizontal="center" vertical="center" shrinkToFit="1"/>
    </xf>
    <xf numFmtId="0" fontId="74" fillId="0" borderId="77" xfId="2" applyNumberFormat="1" applyFont="1" applyFill="1" applyBorder="1" applyAlignment="1">
      <alignment horizontal="center" vertical="center" shrinkToFit="1"/>
    </xf>
    <xf numFmtId="0" fontId="74" fillId="0" borderId="78" xfId="2" applyNumberFormat="1" applyFont="1" applyFill="1" applyBorder="1" applyAlignment="1">
      <alignment horizontal="center" vertical="center" shrinkToFit="1"/>
    </xf>
    <xf numFmtId="0" fontId="73" fillId="0" borderId="75" xfId="111" quotePrefix="1" applyFont="1" applyBorder="1" applyAlignment="1">
      <alignment horizontal="left" vertical="center" wrapText="1" indent="2"/>
    </xf>
    <xf numFmtId="0" fontId="73" fillId="0" borderId="75" xfId="111" quotePrefix="1" applyFont="1" applyBorder="1" applyAlignment="1">
      <alignment horizontal="left" vertical="center" wrapText="1" indent="3"/>
    </xf>
    <xf numFmtId="0" fontId="71" fillId="0" borderId="76" xfId="111" applyFont="1" applyBorder="1" applyAlignment="1">
      <alignment horizontal="left" vertical="center" wrapText="1"/>
    </xf>
    <xf numFmtId="0" fontId="73" fillId="0" borderId="80" xfId="111" applyFont="1" applyBorder="1" applyAlignment="1">
      <alignment horizontal="left" vertical="center"/>
    </xf>
    <xf numFmtId="0" fontId="73" fillId="0" borderId="81" xfId="111" applyFont="1" applyBorder="1" applyAlignment="1" applyProtection="1">
      <alignment horizontal="left" vertical="center"/>
      <protection locked="0"/>
    </xf>
    <xf numFmtId="0" fontId="73" fillId="0" borderId="81" xfId="111" applyFont="1" applyBorder="1" applyAlignment="1">
      <alignment horizontal="left" vertical="center" wrapText="1" indent="1"/>
    </xf>
    <xf numFmtId="165" fontId="74" fillId="58" borderId="80" xfId="2" applyNumberFormat="1" applyFont="1" applyFill="1" applyBorder="1" applyAlignment="1">
      <alignment vertical="center" shrinkToFit="1"/>
    </xf>
    <xf numFmtId="165" fontId="74" fillId="58" borderId="82" xfId="2" applyNumberFormat="1" applyFont="1" applyFill="1" applyBorder="1" applyAlignment="1">
      <alignment vertical="center" shrinkToFit="1"/>
    </xf>
    <xf numFmtId="165" fontId="74" fillId="58" borderId="83" xfId="2" applyNumberFormat="1" applyFont="1" applyFill="1" applyBorder="1" applyAlignment="1">
      <alignment vertical="center" shrinkToFit="1"/>
    </xf>
    <xf numFmtId="165" fontId="74" fillId="0" borderId="84" xfId="2" applyNumberFormat="1" applyFont="1" applyFill="1" applyBorder="1" applyAlignment="1">
      <alignment vertical="center" shrinkToFit="1"/>
    </xf>
    <xf numFmtId="165" fontId="74" fillId="0" borderId="82" xfId="2" applyNumberFormat="1" applyFont="1" applyFill="1" applyBorder="1" applyAlignment="1">
      <alignment vertical="center" shrinkToFit="1"/>
    </xf>
    <xf numFmtId="165" fontId="74" fillId="0" borderId="83" xfId="2" applyNumberFormat="1" applyFont="1" applyFill="1" applyBorder="1" applyAlignment="1">
      <alignment vertical="center" shrinkToFit="1"/>
    </xf>
    <xf numFmtId="0" fontId="62" fillId="0" borderId="0" xfId="111" applyFont="1" applyBorder="1" applyAlignment="1" applyProtection="1">
      <alignment vertical="center"/>
      <protection locked="0"/>
    </xf>
    <xf numFmtId="0" fontId="75" fillId="0" borderId="0" xfId="111" applyFont="1" applyBorder="1" applyAlignment="1" applyProtection="1">
      <alignment vertical="center"/>
      <protection locked="0"/>
    </xf>
    <xf numFmtId="0" fontId="68" fillId="0" borderId="0" xfId="111" applyFont="1" applyBorder="1" applyAlignment="1" applyProtection="1">
      <alignment vertical="center"/>
      <protection locked="0"/>
    </xf>
    <xf numFmtId="0" fontId="76" fillId="0" borderId="0" xfId="111" applyFont="1" applyBorder="1" applyAlignment="1" applyProtection="1">
      <alignment vertical="center"/>
      <protection locked="0"/>
    </xf>
    <xf numFmtId="0" fontId="77" fillId="0" borderId="0" xfId="111" applyFont="1" applyBorder="1" applyAlignment="1" applyProtection="1">
      <alignment vertical="center" wrapText="1"/>
      <protection locked="0"/>
    </xf>
    <xf numFmtId="0" fontId="77" fillId="0" borderId="0" xfId="111" applyFont="1" applyBorder="1" applyAlignment="1" applyProtection="1">
      <alignment vertical="center"/>
      <protection locked="0"/>
    </xf>
    <xf numFmtId="0" fontId="78" fillId="0" borderId="0" xfId="111" applyFont="1" applyBorder="1" applyAlignment="1" applyProtection="1">
      <alignment horizontal="left" vertical="center"/>
      <protection locked="0"/>
    </xf>
    <xf numFmtId="0" fontId="77" fillId="0" borderId="0" xfId="111" applyFont="1" applyBorder="1" applyAlignment="1" applyProtection="1">
      <alignment horizontal="left" vertical="center" wrapText="1"/>
      <protection locked="0"/>
    </xf>
    <xf numFmtId="0" fontId="79" fillId="0" borderId="0" xfId="111" applyFont="1" applyFill="1" applyBorder="1" applyAlignment="1" applyProtection="1">
      <alignment horizontal="left" vertical="center"/>
      <protection locked="0"/>
    </xf>
    <xf numFmtId="0" fontId="79" fillId="59" borderId="0" xfId="111" applyFont="1" applyFill="1" applyBorder="1" applyAlignment="1" applyProtection="1">
      <alignment horizontal="left" vertical="center" wrapText="1"/>
      <protection locked="0"/>
    </xf>
    <xf numFmtId="0" fontId="79" fillId="60" borderId="0" xfId="111" applyFont="1" applyFill="1" applyBorder="1" applyAlignment="1" applyProtection="1">
      <alignment horizontal="left" vertical="center" wrapText="1"/>
      <protection locked="0"/>
    </xf>
    <xf numFmtId="0" fontId="79" fillId="33" borderId="0" xfId="111" applyFont="1" applyFill="1" applyBorder="1" applyAlignment="1" applyProtection="1">
      <alignment horizontal="left" vertical="center" wrapText="1"/>
      <protection locked="0"/>
    </xf>
    <xf numFmtId="0" fontId="79" fillId="0" borderId="67" xfId="111" applyFont="1" applyFill="1" applyBorder="1" applyAlignment="1" applyProtection="1">
      <alignment vertical="center"/>
      <protection locked="0"/>
    </xf>
    <xf numFmtId="0" fontId="80" fillId="0" borderId="67" xfId="111" applyFont="1" applyFill="1" applyBorder="1" applyAlignment="1" applyProtection="1">
      <alignment vertical="center"/>
      <protection locked="0"/>
    </xf>
    <xf numFmtId="0" fontId="81" fillId="0" borderId="85" xfId="3" applyFont="1" applyBorder="1" applyAlignment="1">
      <alignment vertical="center"/>
    </xf>
    <xf numFmtId="0" fontId="82" fillId="0" borderId="69" xfId="3" applyFont="1" applyBorder="1" applyAlignment="1">
      <alignment vertical="center"/>
    </xf>
    <xf numFmtId="0" fontId="79" fillId="59" borderId="70" xfId="111" applyFont="1" applyFill="1" applyBorder="1" applyAlignment="1">
      <alignment horizontal="left" vertical="center" wrapText="1"/>
    </xf>
    <xf numFmtId="0" fontId="79" fillId="58" borderId="68" xfId="111" applyFont="1" applyFill="1" applyBorder="1" applyAlignment="1">
      <alignment horizontal="center" vertical="center" wrapText="1"/>
    </xf>
    <xf numFmtId="0" fontId="79" fillId="58" borderId="71" xfId="111" applyFont="1" applyFill="1" applyBorder="1" applyAlignment="1">
      <alignment horizontal="center" vertical="center" wrapText="1"/>
    </xf>
    <xf numFmtId="0" fontId="79" fillId="58" borderId="72" xfId="111" applyFont="1" applyFill="1" applyBorder="1" applyAlignment="1">
      <alignment horizontal="center" vertical="center" wrapText="1"/>
    </xf>
    <xf numFmtId="0" fontId="62" fillId="0" borderId="73" xfId="111" applyFont="1" applyBorder="1" applyAlignment="1">
      <alignment horizontal="center" vertical="center"/>
    </xf>
    <xf numFmtId="0" fontId="62" fillId="0" borderId="71" xfId="111" applyFont="1" applyBorder="1" applyAlignment="1">
      <alignment horizontal="center" vertical="center"/>
    </xf>
    <xf numFmtId="0" fontId="62" fillId="0" borderId="72" xfId="111" applyFont="1" applyBorder="1" applyAlignment="1">
      <alignment horizontal="center" vertical="center"/>
    </xf>
    <xf numFmtId="0" fontId="81" fillId="0" borderId="86" xfId="3" applyFont="1" applyBorder="1" applyAlignment="1">
      <alignment vertical="center"/>
    </xf>
    <xf numFmtId="0" fontId="82" fillId="0" borderId="75" xfId="3" applyFont="1" applyBorder="1" applyAlignment="1">
      <alignment vertical="center"/>
    </xf>
    <xf numFmtId="0" fontId="79" fillId="59" borderId="76" xfId="111" applyFont="1" applyFill="1" applyBorder="1" applyAlignment="1">
      <alignment horizontal="left" vertical="center" wrapText="1"/>
    </xf>
    <xf numFmtId="0" fontId="79" fillId="58" borderId="74" xfId="111" applyFont="1" applyFill="1" applyBorder="1" applyAlignment="1">
      <alignment horizontal="center" vertical="center" wrapText="1"/>
    </xf>
    <xf numFmtId="0" fontId="79" fillId="58" borderId="77" xfId="111" applyFont="1" applyFill="1" applyBorder="1" applyAlignment="1">
      <alignment horizontal="center" vertical="center" wrapText="1"/>
    </xf>
    <xf numFmtId="0" fontId="79" fillId="58" borderId="78" xfId="111" applyFont="1" applyFill="1" applyBorder="1" applyAlignment="1">
      <alignment horizontal="center" vertical="center" wrapText="1"/>
    </xf>
    <xf numFmtId="0" fontId="62" fillId="0" borderId="79" xfId="111" applyFont="1" applyBorder="1" applyAlignment="1">
      <alignment horizontal="center" vertical="center"/>
    </xf>
    <xf numFmtId="0" fontId="62" fillId="0" borderId="77" xfId="111" applyFont="1" applyBorder="1" applyAlignment="1">
      <alignment horizontal="center" vertical="center"/>
    </xf>
    <xf numFmtId="0" fontId="62" fillId="0" borderId="78" xfId="111" applyFont="1" applyBorder="1" applyAlignment="1">
      <alignment horizontal="center" vertical="center"/>
    </xf>
    <xf numFmtId="0" fontId="79" fillId="60" borderId="76" xfId="111" applyFont="1" applyFill="1" applyBorder="1" applyAlignment="1">
      <alignment horizontal="left" vertical="center" wrapText="1"/>
    </xf>
    <xf numFmtId="165" fontId="83" fillId="0" borderId="79" xfId="111" applyNumberFormat="1" applyFont="1" applyFill="1" applyBorder="1" applyAlignment="1">
      <alignment horizontal="center" vertical="center"/>
    </xf>
    <xf numFmtId="165" fontId="83" fillId="0" borderId="77" xfId="111" applyNumberFormat="1" applyFont="1" applyFill="1" applyBorder="1" applyAlignment="1">
      <alignment horizontal="center" vertical="center"/>
    </xf>
    <xf numFmtId="165" fontId="83" fillId="0" borderId="78" xfId="111" applyNumberFormat="1" applyFont="1" applyFill="1" applyBorder="1" applyAlignment="1">
      <alignment horizontal="center" vertical="center"/>
    </xf>
    <xf numFmtId="0" fontId="84" fillId="0" borderId="86" xfId="3" applyFont="1" applyBorder="1" applyAlignment="1">
      <alignment vertical="center"/>
    </xf>
    <xf numFmtId="0" fontId="10" fillId="0" borderId="75" xfId="3" applyFont="1" applyBorder="1" applyAlignment="1">
      <alignment vertical="center"/>
    </xf>
    <xf numFmtId="0" fontId="79" fillId="58" borderId="74" xfId="111" applyFont="1" applyFill="1" applyBorder="1" applyAlignment="1">
      <alignment horizontal="center" vertical="center"/>
    </xf>
    <xf numFmtId="0" fontId="79" fillId="33" borderId="76" xfId="111" applyFont="1" applyFill="1" applyBorder="1" applyAlignment="1">
      <alignment horizontal="left" vertical="center" wrapText="1"/>
    </xf>
    <xf numFmtId="0" fontId="83" fillId="0" borderId="79" xfId="111" applyNumberFormat="1" applyFont="1" applyFill="1" applyBorder="1" applyAlignment="1">
      <alignment horizontal="center" vertical="center"/>
    </xf>
    <xf numFmtId="0" fontId="83" fillId="0" borderId="77" xfId="111" applyNumberFormat="1" applyFont="1" applyFill="1" applyBorder="1" applyAlignment="1">
      <alignment horizontal="center" vertical="center"/>
    </xf>
    <xf numFmtId="0" fontId="83" fillId="0" borderId="78" xfId="111" applyNumberFormat="1" applyFont="1" applyFill="1" applyBorder="1" applyAlignment="1">
      <alignment horizontal="center" vertical="center"/>
    </xf>
    <xf numFmtId="0" fontId="81" fillId="0" borderId="87" xfId="3" applyFont="1" applyBorder="1" applyAlignment="1">
      <alignment vertical="center"/>
    </xf>
    <xf numFmtId="0" fontId="82" fillId="0" borderId="81" xfId="3" applyFont="1" applyBorder="1" applyAlignment="1">
      <alignment vertical="center"/>
    </xf>
    <xf numFmtId="0" fontId="79" fillId="33" borderId="88" xfId="111" applyFont="1" applyFill="1" applyBorder="1" applyAlignment="1">
      <alignment horizontal="left" vertical="center" wrapText="1"/>
    </xf>
    <xf numFmtId="0" fontId="79" fillId="58" borderId="80" xfId="111" applyFont="1" applyFill="1" applyBorder="1" applyAlignment="1">
      <alignment horizontal="center" vertical="center" wrapText="1"/>
    </xf>
    <xf numFmtId="0" fontId="79" fillId="58" borderId="82" xfId="111" applyFont="1" applyFill="1" applyBorder="1" applyAlignment="1">
      <alignment horizontal="center" vertical="center" wrapText="1"/>
    </xf>
    <xf numFmtId="0" fontId="79" fillId="58" borderId="83" xfId="111" applyFont="1" applyFill="1" applyBorder="1" applyAlignment="1">
      <alignment horizontal="center" vertical="center" wrapText="1"/>
    </xf>
    <xf numFmtId="0" fontId="62" fillId="0" borderId="84" xfId="111" applyFont="1" applyBorder="1" applyAlignment="1">
      <alignment horizontal="center" vertical="center"/>
    </xf>
    <xf numFmtId="0" fontId="62" fillId="0" borderId="82" xfId="111" applyFont="1" applyBorder="1" applyAlignment="1">
      <alignment horizontal="center" vertical="center"/>
    </xf>
    <xf numFmtId="0" fontId="62" fillId="0" borderId="83" xfId="111" applyFont="1" applyBorder="1" applyAlignment="1">
      <alignment horizontal="center" vertical="center"/>
    </xf>
    <xf numFmtId="0" fontId="77" fillId="0" borderId="0" xfId="111" applyFont="1" applyBorder="1" applyAlignment="1">
      <alignment horizontal="center" vertical="center"/>
    </xf>
    <xf numFmtId="0" fontId="77" fillId="0" borderId="0" xfId="111" applyFont="1" applyBorder="1" applyAlignment="1">
      <alignment vertical="center" wrapText="1"/>
    </xf>
    <xf numFmtId="0" fontId="62" fillId="0" borderId="0" xfId="111" applyFont="1" applyBorder="1" applyAlignment="1">
      <alignment vertical="center"/>
    </xf>
    <xf numFmtId="0" fontId="85" fillId="0" borderId="0" xfId="111" applyFont="1"/>
    <xf numFmtId="0" fontId="85" fillId="0" borderId="0" xfId="111" applyFont="1" applyAlignment="1"/>
    <xf numFmtId="0" fontId="74" fillId="61" borderId="85" xfId="111" applyFont="1" applyFill="1" applyBorder="1" applyAlignment="1">
      <alignment vertical="center"/>
    </xf>
    <xf numFmtId="4" fontId="74" fillId="58" borderId="68" xfId="111" applyNumberFormat="1" applyFont="1" applyFill="1" applyBorder="1" applyAlignment="1">
      <alignment vertical="center"/>
    </xf>
    <xf numFmtId="4" fontId="74" fillId="58" borderId="71" xfId="111" applyNumberFormat="1" applyFont="1" applyFill="1" applyBorder="1" applyAlignment="1">
      <alignment vertical="center"/>
    </xf>
    <xf numFmtId="4" fontId="74" fillId="58" borderId="72" xfId="111" applyNumberFormat="1" applyFont="1" applyFill="1" applyBorder="1" applyAlignment="1">
      <alignment vertical="center"/>
    </xf>
    <xf numFmtId="4" fontId="74" fillId="0" borderId="73" xfId="111" applyNumberFormat="1" applyFont="1" applyBorder="1" applyAlignment="1">
      <alignment vertical="center"/>
    </xf>
    <xf numFmtId="4" fontId="74" fillId="0" borderId="71" xfId="111" applyNumberFormat="1" applyFont="1" applyBorder="1" applyAlignment="1">
      <alignment vertical="center"/>
    </xf>
    <xf numFmtId="4" fontId="74" fillId="0" borderId="72" xfId="111" applyNumberFormat="1" applyFont="1" applyBorder="1" applyAlignment="1">
      <alignment vertical="center"/>
    </xf>
    <xf numFmtId="0" fontId="74" fillId="61" borderId="86" xfId="111" applyFont="1" applyFill="1" applyBorder="1" applyAlignment="1">
      <alignment vertical="center"/>
    </xf>
    <xf numFmtId="4" fontId="74" fillId="58" borderId="74" xfId="111" applyNumberFormat="1" applyFont="1" applyFill="1" applyBorder="1" applyAlignment="1">
      <alignment vertical="center"/>
    </xf>
    <xf numFmtId="4" fontId="74" fillId="58" borderId="77" xfId="111" applyNumberFormat="1" applyFont="1" applyFill="1" applyBorder="1" applyAlignment="1">
      <alignment vertical="center"/>
    </xf>
    <xf numFmtId="4" fontId="74" fillId="58" borderId="78" xfId="111" applyNumberFormat="1" applyFont="1" applyFill="1" applyBorder="1" applyAlignment="1">
      <alignment vertical="center"/>
    </xf>
    <xf numFmtId="4" fontId="74" fillId="0" borderId="79" xfId="111" applyNumberFormat="1" applyFont="1" applyBorder="1" applyAlignment="1">
      <alignment vertical="center"/>
    </xf>
    <xf numFmtId="4" fontId="74" fillId="0" borderId="77" xfId="111" applyNumberFormat="1" applyFont="1" applyBorder="1" applyAlignment="1">
      <alignment vertical="center"/>
    </xf>
    <xf numFmtId="4" fontId="74" fillId="0" borderId="78" xfId="111" applyNumberFormat="1" applyFont="1" applyBorder="1" applyAlignment="1">
      <alignment vertical="center"/>
    </xf>
    <xf numFmtId="0" fontId="86" fillId="61" borderId="86" xfId="111" applyFont="1" applyFill="1" applyBorder="1" applyAlignment="1">
      <alignment horizontal="left" vertical="center" wrapText="1"/>
    </xf>
    <xf numFmtId="4" fontId="74" fillId="58" borderId="74" xfId="111" applyNumberFormat="1" applyFont="1" applyFill="1" applyBorder="1" applyAlignment="1">
      <alignment horizontal="center" vertical="center"/>
    </xf>
    <xf numFmtId="4" fontId="74" fillId="58" borderId="77" xfId="111" applyNumberFormat="1" applyFont="1" applyFill="1" applyBorder="1" applyAlignment="1">
      <alignment horizontal="center" vertical="center"/>
    </xf>
    <xf numFmtId="0" fontId="86" fillId="61" borderId="87" xfId="111" applyFont="1" applyFill="1" applyBorder="1" applyAlignment="1">
      <alignment horizontal="left" vertical="center" wrapText="1"/>
    </xf>
    <xf numFmtId="4" fontId="74" fillId="58" borderId="80" xfId="111" applyNumberFormat="1" applyFont="1" applyFill="1" applyBorder="1" applyAlignment="1">
      <alignment horizontal="center" vertical="center"/>
    </xf>
    <xf numFmtId="4" fontId="74" fillId="58" borderId="82" xfId="111" applyNumberFormat="1" applyFont="1" applyFill="1" applyBorder="1" applyAlignment="1">
      <alignment vertical="center"/>
    </xf>
    <xf numFmtId="4" fontId="74" fillId="58" borderId="82" xfId="111" applyNumberFormat="1" applyFont="1" applyFill="1" applyBorder="1" applyAlignment="1">
      <alignment horizontal="center" vertical="center"/>
    </xf>
    <xf numFmtId="4" fontId="74" fillId="58" borderId="83" xfId="111" applyNumberFormat="1" applyFont="1" applyFill="1" applyBorder="1" applyAlignment="1">
      <alignment vertical="center"/>
    </xf>
    <xf numFmtId="4" fontId="74" fillId="0" borderId="84" xfId="111" applyNumberFormat="1" applyFont="1" applyBorder="1" applyAlignment="1">
      <alignment vertical="center"/>
    </xf>
    <xf numFmtId="4" fontId="74" fillId="0" borderId="82" xfId="111" applyNumberFormat="1" applyFont="1" applyBorder="1" applyAlignment="1">
      <alignment vertical="center"/>
    </xf>
    <xf numFmtId="4" fontId="74" fillId="0" borderId="83" xfId="111" applyNumberFormat="1" applyFont="1" applyBorder="1" applyAlignment="1">
      <alignment vertical="center"/>
    </xf>
    <xf numFmtId="0" fontId="62" fillId="0" borderId="0" xfId="111" applyFont="1" applyFill="1"/>
    <xf numFmtId="0" fontId="69" fillId="0" borderId="0" xfId="111" applyFont="1"/>
    <xf numFmtId="0" fontId="75" fillId="0" borderId="0" xfId="111" applyFont="1" applyFill="1"/>
    <xf numFmtId="0" fontId="67" fillId="0" borderId="0" xfId="111" applyFont="1"/>
    <xf numFmtId="0" fontId="63" fillId="0" borderId="0" xfId="111" applyFont="1" applyFill="1"/>
    <xf numFmtId="167" fontId="68" fillId="62" borderId="0" xfId="4" applyNumberFormat="1" applyFont="1" applyFill="1" applyAlignment="1">
      <alignment vertical="center"/>
    </xf>
    <xf numFmtId="0" fontId="87" fillId="0" borderId="0" xfId="111" applyFont="1" applyAlignment="1">
      <alignment vertical="center"/>
    </xf>
    <xf numFmtId="167" fontId="68" fillId="0" borderId="0" xfId="4" applyNumberFormat="1" applyFont="1" applyFill="1" applyAlignment="1">
      <alignment vertical="center"/>
    </xf>
    <xf numFmtId="0" fontId="62" fillId="0" borderId="0" xfId="111" applyFont="1" applyAlignment="1">
      <alignment vertical="center"/>
    </xf>
    <xf numFmtId="167" fontId="68" fillId="60" borderId="0" xfId="4" applyNumberFormat="1" applyFont="1" applyFill="1" applyAlignment="1">
      <alignment vertical="center"/>
    </xf>
    <xf numFmtId="167" fontId="68" fillId="33" borderId="0" xfId="4" applyNumberFormat="1" applyFont="1" applyFill="1" applyAlignment="1">
      <alignment vertical="center"/>
    </xf>
    <xf numFmtId="0" fontId="74" fillId="0" borderId="10" xfId="111" applyFont="1" applyBorder="1"/>
    <xf numFmtId="10" fontId="74" fillId="58" borderId="68" xfId="111" applyNumberFormat="1" applyFont="1" applyFill="1" applyBorder="1" applyAlignment="1">
      <alignment horizontal="center" vertical="center"/>
    </xf>
    <xf numFmtId="10" fontId="74" fillId="58" borderId="71" xfId="111" applyNumberFormat="1" applyFont="1" applyFill="1" applyBorder="1" applyAlignment="1">
      <alignment horizontal="center" vertical="center"/>
    </xf>
    <xf numFmtId="10" fontId="74" fillId="58" borderId="72" xfId="111" applyNumberFormat="1" applyFont="1" applyFill="1" applyBorder="1" applyAlignment="1">
      <alignment horizontal="center" vertical="center"/>
    </xf>
    <xf numFmtId="10" fontId="74" fillId="0" borderId="73" xfId="111" applyNumberFormat="1" applyFont="1" applyFill="1" applyBorder="1" applyAlignment="1">
      <alignment vertical="center"/>
    </xf>
    <xf numFmtId="10" fontId="74" fillId="0" borderId="71" xfId="111" applyNumberFormat="1" applyFont="1" applyFill="1" applyBorder="1" applyAlignment="1">
      <alignment vertical="center"/>
    </xf>
    <xf numFmtId="10" fontId="74" fillId="0" borderId="72" xfId="111" applyNumberFormat="1" applyFont="1" applyFill="1" applyBorder="1" applyAlignment="1">
      <alignment vertical="center"/>
    </xf>
    <xf numFmtId="0" fontId="74" fillId="0" borderId="11" xfId="111" applyFont="1" applyBorder="1"/>
    <xf numFmtId="10" fontId="74" fillId="58" borderId="80" xfId="111" applyNumberFormat="1" applyFont="1" applyFill="1" applyBorder="1" applyAlignment="1">
      <alignment horizontal="center" vertical="center"/>
    </xf>
    <xf numFmtId="10" fontId="74" fillId="58" borderId="82" xfId="111" applyNumberFormat="1" applyFont="1" applyFill="1" applyBorder="1" applyAlignment="1">
      <alignment horizontal="center" vertical="center"/>
    </xf>
    <xf numFmtId="10" fontId="74" fillId="58" borderId="83" xfId="111" applyNumberFormat="1" applyFont="1" applyFill="1" applyBorder="1" applyAlignment="1">
      <alignment horizontal="center" vertical="center"/>
    </xf>
    <xf numFmtId="10" fontId="74" fillId="0" borderId="84" xfId="111" applyNumberFormat="1" applyFont="1" applyFill="1" applyBorder="1" applyAlignment="1">
      <alignment vertical="center"/>
    </xf>
    <xf numFmtId="10" fontId="74" fillId="0" borderId="82" xfId="111" applyNumberFormat="1" applyFont="1" applyFill="1" applyBorder="1" applyAlignment="1">
      <alignment vertical="center"/>
    </xf>
    <xf numFmtId="10" fontId="74" fillId="0" borderId="83" xfId="111" applyNumberFormat="1" applyFont="1" applyFill="1" applyBorder="1" applyAlignment="1">
      <alignment vertical="center"/>
    </xf>
    <xf numFmtId="167" fontId="62" fillId="33" borderId="0" xfId="5" applyNumberFormat="1" applyFont="1" applyFill="1" applyAlignment="1">
      <alignment vertical="center"/>
    </xf>
    <xf numFmtId="167" fontId="62" fillId="0" borderId="0" xfId="5" applyNumberFormat="1" applyFont="1" applyFill="1" applyAlignment="1">
      <alignment vertical="center"/>
    </xf>
    <xf numFmtId="167" fontId="62" fillId="60" borderId="0" xfId="5" applyNumberFormat="1" applyFont="1" applyFill="1" applyAlignment="1">
      <alignment vertical="center"/>
    </xf>
    <xf numFmtId="167" fontId="62" fillId="62" borderId="0" xfId="5" applyNumberFormat="1" applyFont="1" applyFill="1" applyAlignment="1">
      <alignment vertical="center"/>
    </xf>
    <xf numFmtId="167" fontId="72" fillId="0" borderId="0" xfId="5" applyNumberFormat="1" applyFont="1" applyFill="1" applyAlignment="1">
      <alignment horizontal="center" vertical="center" wrapText="1"/>
    </xf>
    <xf numFmtId="0" fontId="72" fillId="0" borderId="0" xfId="111" applyFont="1"/>
    <xf numFmtId="0" fontId="72" fillId="0" borderId="0" xfId="111" applyFont="1" applyAlignment="1"/>
    <xf numFmtId="0" fontId="72" fillId="0" borderId="10" xfId="111" applyFont="1" applyBorder="1" applyAlignment="1">
      <alignment vertical="center"/>
    </xf>
    <xf numFmtId="167" fontId="72" fillId="58" borderId="68" xfId="111" applyNumberFormat="1" applyFont="1" applyFill="1" applyBorder="1" applyAlignment="1">
      <alignment horizontal="center" vertical="center"/>
    </xf>
    <xf numFmtId="167" fontId="72" fillId="58" borderId="71" xfId="111" applyNumberFormat="1" applyFont="1" applyFill="1" applyBorder="1" applyAlignment="1">
      <alignment horizontal="right" vertical="center"/>
    </xf>
    <xf numFmtId="167" fontId="72" fillId="58" borderId="72" xfId="111" applyNumberFormat="1" applyFont="1" applyFill="1" applyBorder="1" applyAlignment="1">
      <alignment horizontal="right" vertical="center"/>
    </xf>
    <xf numFmtId="167" fontId="72" fillId="0" borderId="73" xfId="4" applyNumberFormat="1" applyFont="1" applyFill="1" applyBorder="1" applyAlignment="1">
      <alignment horizontal="right" vertical="center"/>
    </xf>
    <xf numFmtId="167" fontId="72" fillId="0" borderId="71" xfId="4" applyNumberFormat="1" applyFont="1" applyFill="1" applyBorder="1" applyAlignment="1">
      <alignment horizontal="right" vertical="center"/>
    </xf>
    <xf numFmtId="167" fontId="72" fillId="0" borderId="72" xfId="4" applyNumberFormat="1" applyFont="1" applyFill="1" applyBorder="1" applyAlignment="1">
      <alignment horizontal="right" vertical="center"/>
    </xf>
    <xf numFmtId="0" fontId="88" fillId="0" borderId="0" xfId="111" applyFont="1"/>
    <xf numFmtId="0" fontId="74" fillId="0" borderId="0" xfId="111" applyFont="1"/>
    <xf numFmtId="0" fontId="74" fillId="0" borderId="0" xfId="111" applyFont="1" applyAlignment="1"/>
    <xf numFmtId="0" fontId="74" fillId="0" borderId="89" xfId="111" applyFont="1" applyBorder="1" applyAlignment="1">
      <alignment horizontal="left" vertical="center" indent="1"/>
    </xf>
    <xf numFmtId="167" fontId="74" fillId="58" borderId="74" xfId="111" applyNumberFormat="1" applyFont="1" applyFill="1" applyBorder="1" applyAlignment="1">
      <alignment horizontal="center" vertical="center"/>
    </xf>
    <xf numFmtId="167" fontId="74" fillId="58" borderId="77" xfId="111" applyNumberFormat="1" applyFont="1" applyFill="1" applyBorder="1" applyAlignment="1">
      <alignment horizontal="right" vertical="center"/>
    </xf>
    <xf numFmtId="167" fontId="74" fillId="58" borderId="78" xfId="111" applyNumberFormat="1" applyFont="1" applyFill="1" applyBorder="1" applyAlignment="1">
      <alignment horizontal="right" vertical="center"/>
    </xf>
    <xf numFmtId="167" fontId="74" fillId="0" borderId="79" xfId="4" applyNumberFormat="1" applyFont="1" applyFill="1" applyBorder="1" applyAlignment="1">
      <alignment horizontal="right" vertical="center"/>
    </xf>
    <xf numFmtId="167" fontId="74" fillId="0" borderId="77" xfId="4" applyNumberFormat="1" applyFont="1" applyFill="1" applyBorder="1" applyAlignment="1">
      <alignment horizontal="right" vertical="center"/>
    </xf>
    <xf numFmtId="167" fontId="74" fillId="0" borderId="78" xfId="4" applyNumberFormat="1" applyFont="1" applyFill="1" applyBorder="1" applyAlignment="1">
      <alignment horizontal="right" vertical="center"/>
    </xf>
    <xf numFmtId="0" fontId="74" fillId="0" borderId="89" xfId="111" applyFont="1" applyBorder="1" applyAlignment="1">
      <alignment horizontal="left" vertical="center" wrapText="1" indent="2"/>
    </xf>
    <xf numFmtId="167" fontId="74" fillId="58" borderId="74" xfId="111" applyNumberFormat="1" applyFont="1" applyFill="1" applyBorder="1" applyAlignment="1">
      <alignment horizontal="center" vertical="center" wrapText="1"/>
    </xf>
    <xf numFmtId="167" fontId="74" fillId="58" borderId="77" xfId="111" applyNumberFormat="1" applyFont="1" applyFill="1" applyBorder="1" applyAlignment="1">
      <alignment horizontal="right" vertical="center" wrapText="1"/>
    </xf>
    <xf numFmtId="167" fontId="74" fillId="58" borderId="78" xfId="111" applyNumberFormat="1" applyFont="1" applyFill="1" applyBorder="1" applyAlignment="1">
      <alignment horizontal="right" vertical="center" wrapText="1"/>
    </xf>
    <xf numFmtId="0" fontId="74" fillId="0" borderId="11" xfId="111" applyFont="1" applyBorder="1" applyAlignment="1">
      <alignment horizontal="left" vertical="center" wrapText="1" indent="2"/>
    </xf>
    <xf numFmtId="167" fontId="74" fillId="58" borderId="90" xfId="111" applyNumberFormat="1" applyFont="1" applyFill="1" applyBorder="1" applyAlignment="1">
      <alignment horizontal="center" vertical="center" wrapText="1"/>
    </xf>
    <xf numFmtId="167" fontId="74" fillId="58" borderId="91" xfId="111" applyNumberFormat="1" applyFont="1" applyFill="1" applyBorder="1" applyAlignment="1">
      <alignment horizontal="right" vertical="center" wrapText="1"/>
    </xf>
    <xf numFmtId="167" fontId="74" fillId="58" borderId="92" xfId="111" applyNumberFormat="1" applyFont="1" applyFill="1" applyBorder="1" applyAlignment="1">
      <alignment horizontal="right" vertical="center" wrapText="1"/>
    </xf>
    <xf numFmtId="167" fontId="74" fillId="0" borderId="93" xfId="4" applyNumberFormat="1" applyFont="1" applyFill="1" applyBorder="1" applyAlignment="1">
      <alignment horizontal="right" vertical="center"/>
    </xf>
    <xf numFmtId="167" fontId="74" fillId="0" borderId="91" xfId="4" applyNumberFormat="1" applyFont="1" applyFill="1" applyBorder="1" applyAlignment="1">
      <alignment horizontal="right" vertical="center"/>
    </xf>
    <xf numFmtId="167" fontId="74" fillId="0" borderId="92" xfId="4" applyNumberFormat="1" applyFont="1" applyFill="1" applyBorder="1" applyAlignment="1">
      <alignment horizontal="right" vertical="center"/>
    </xf>
    <xf numFmtId="0" fontId="74" fillId="0" borderId="89" xfId="111" applyFont="1" applyBorder="1" applyAlignment="1">
      <alignment horizontal="left" vertical="center" wrapText="1" indent="1"/>
    </xf>
    <xf numFmtId="0" fontId="72" fillId="0" borderId="89" xfId="111" applyFont="1" applyBorder="1" applyAlignment="1">
      <alignment horizontal="left" vertical="center" indent="1"/>
    </xf>
    <xf numFmtId="167" fontId="72" fillId="58" borderId="74" xfId="111" applyNumberFormat="1" applyFont="1" applyFill="1" applyBorder="1" applyAlignment="1">
      <alignment horizontal="center" vertical="center"/>
    </xf>
    <xf numFmtId="167" fontId="72" fillId="58" borderId="77" xfId="111" applyNumberFormat="1" applyFont="1" applyFill="1" applyBorder="1" applyAlignment="1">
      <alignment horizontal="right" vertical="center"/>
    </xf>
    <xf numFmtId="167" fontId="72" fillId="58" borderId="78" xfId="111" applyNumberFormat="1" applyFont="1" applyFill="1" applyBorder="1" applyAlignment="1">
      <alignment horizontal="right" vertical="center"/>
    </xf>
    <xf numFmtId="167" fontId="72" fillId="0" borderId="79" xfId="4" applyNumberFormat="1" applyFont="1" applyFill="1" applyBorder="1" applyAlignment="1">
      <alignment horizontal="right" vertical="center"/>
    </xf>
    <xf numFmtId="167" fontId="72" fillId="0" borderId="77" xfId="4" applyNumberFormat="1" applyFont="1" applyFill="1" applyBorder="1" applyAlignment="1">
      <alignment horizontal="right" vertical="center"/>
    </xf>
    <xf numFmtId="167" fontId="72" fillId="0" borderId="78" xfId="4" applyNumberFormat="1" applyFont="1" applyFill="1" applyBorder="1" applyAlignment="1">
      <alignment horizontal="right" vertical="center"/>
    </xf>
    <xf numFmtId="167" fontId="74" fillId="58" borderId="80" xfId="111" applyNumberFormat="1" applyFont="1" applyFill="1" applyBorder="1" applyAlignment="1">
      <alignment horizontal="center" vertical="center" wrapText="1"/>
    </xf>
    <xf numFmtId="167" fontId="74" fillId="58" borderId="82" xfId="111" applyNumberFormat="1" applyFont="1" applyFill="1" applyBorder="1" applyAlignment="1">
      <alignment horizontal="right" vertical="center" wrapText="1"/>
    </xf>
    <xf numFmtId="167" fontId="74" fillId="58" borderId="83" xfId="111" applyNumberFormat="1" applyFont="1" applyFill="1" applyBorder="1" applyAlignment="1">
      <alignment horizontal="right" vertical="center" wrapText="1"/>
    </xf>
    <xf numFmtId="167" fontId="74" fillId="0" borderId="84" xfId="4" applyNumberFormat="1" applyFont="1" applyFill="1" applyBorder="1" applyAlignment="1">
      <alignment horizontal="right" vertical="center"/>
    </xf>
    <xf numFmtId="167" fontId="74" fillId="0" borderId="82" xfId="4" applyNumberFormat="1" applyFont="1" applyFill="1" applyBorder="1" applyAlignment="1">
      <alignment horizontal="right" vertical="center"/>
    </xf>
    <xf numFmtId="167" fontId="74" fillId="0" borderId="83" xfId="4" applyNumberFormat="1" applyFont="1" applyFill="1" applyBorder="1" applyAlignment="1">
      <alignment horizontal="right" vertical="center"/>
    </xf>
    <xf numFmtId="0" fontId="89" fillId="0" borderId="0" xfId="111" applyFont="1" applyFill="1"/>
    <xf numFmtId="0" fontId="72" fillId="0" borderId="0" xfId="111" applyFont="1" applyFill="1" applyAlignment="1">
      <alignment horizontal="center" vertical="center" wrapText="1"/>
    </xf>
    <xf numFmtId="0" fontId="74" fillId="0" borderId="0" xfId="111" applyFont="1" applyAlignment="1">
      <alignment vertical="center"/>
    </xf>
    <xf numFmtId="165" fontId="72" fillId="58" borderId="68" xfId="111" applyNumberFormat="1" applyFont="1" applyFill="1" applyBorder="1" applyAlignment="1">
      <alignment horizontal="center" vertical="center"/>
    </xf>
    <xf numFmtId="165" fontId="72" fillId="58" borderId="71" xfId="111" applyNumberFormat="1" applyFont="1" applyFill="1" applyBorder="1" applyAlignment="1">
      <alignment horizontal="right" vertical="center"/>
    </xf>
    <xf numFmtId="165" fontId="72" fillId="58" borderId="72" xfId="111" applyNumberFormat="1" applyFont="1" applyFill="1" applyBorder="1" applyAlignment="1">
      <alignment horizontal="right" vertical="center"/>
    </xf>
    <xf numFmtId="165" fontId="72" fillId="0" borderId="73" xfId="111" applyNumberFormat="1" applyFont="1" applyBorder="1" applyAlignment="1">
      <alignment vertical="center"/>
    </xf>
    <xf numFmtId="165" fontId="72" fillId="0" borderId="71" xfId="111" applyNumberFormat="1" applyFont="1" applyBorder="1" applyAlignment="1">
      <alignment vertical="center"/>
    </xf>
    <xf numFmtId="165" fontId="72" fillId="0" borderId="72" xfId="111" applyNumberFormat="1" applyFont="1" applyBorder="1" applyAlignment="1">
      <alignment vertical="center"/>
    </xf>
    <xf numFmtId="165" fontId="74" fillId="58" borderId="74" xfId="111" applyNumberFormat="1" applyFont="1" applyFill="1" applyBorder="1" applyAlignment="1">
      <alignment horizontal="center" vertical="center"/>
    </xf>
    <xf numFmtId="165" fontId="74" fillId="58" borderId="77" xfId="111" applyNumberFormat="1" applyFont="1" applyFill="1" applyBorder="1" applyAlignment="1">
      <alignment horizontal="right" vertical="center"/>
    </xf>
    <xf numFmtId="165" fontId="74" fillId="58" borderId="78" xfId="111" applyNumberFormat="1" applyFont="1" applyFill="1" applyBorder="1" applyAlignment="1">
      <alignment horizontal="right" vertical="center"/>
    </xf>
    <xf numFmtId="165" fontId="74" fillId="0" borderId="79" xfId="111" applyNumberFormat="1" applyFont="1" applyBorder="1" applyAlignment="1">
      <alignment vertical="center"/>
    </xf>
    <xf numFmtId="165" fontId="74" fillId="0" borderId="77" xfId="111" applyNumberFormat="1" applyFont="1" applyBorder="1" applyAlignment="1">
      <alignment vertical="center"/>
    </xf>
    <xf numFmtId="165" fontId="74" fillId="0" borderId="78" xfId="111" applyNumberFormat="1" applyFont="1" applyBorder="1" applyAlignment="1">
      <alignment vertical="center"/>
    </xf>
    <xf numFmtId="165" fontId="74" fillId="58" borderId="74" xfId="111" applyNumberFormat="1" applyFont="1" applyFill="1" applyBorder="1" applyAlignment="1">
      <alignment horizontal="center" vertical="center" wrapText="1"/>
    </xf>
    <xf numFmtId="165" fontId="74" fillId="58" borderId="77" xfId="111" applyNumberFormat="1" applyFont="1" applyFill="1" applyBorder="1" applyAlignment="1">
      <alignment horizontal="right" vertical="center" wrapText="1"/>
    </xf>
    <xf numFmtId="165" fontId="74" fillId="58" borderId="78" xfId="111" applyNumberFormat="1" applyFont="1" applyFill="1" applyBorder="1" applyAlignment="1">
      <alignment horizontal="right" vertical="center" wrapText="1"/>
    </xf>
    <xf numFmtId="165" fontId="74" fillId="58" borderId="80" xfId="111" applyNumberFormat="1" applyFont="1" applyFill="1" applyBorder="1" applyAlignment="1">
      <alignment horizontal="center" vertical="center" wrapText="1"/>
    </xf>
    <xf numFmtId="165" fontId="74" fillId="58" borderId="82" xfId="111" applyNumberFormat="1" applyFont="1" applyFill="1" applyBorder="1" applyAlignment="1">
      <alignment horizontal="right" vertical="center" wrapText="1"/>
    </xf>
    <xf numFmtId="165" fontId="74" fillId="58" borderId="83" xfId="111" applyNumberFormat="1" applyFont="1" applyFill="1" applyBorder="1" applyAlignment="1">
      <alignment horizontal="right" vertical="center" wrapText="1"/>
    </xf>
    <xf numFmtId="165" fontId="74" fillId="0" borderId="84" xfId="111" applyNumberFormat="1" applyFont="1" applyBorder="1" applyAlignment="1">
      <alignment vertical="center"/>
    </xf>
    <xf numFmtId="165" fontId="74" fillId="0" borderId="82" xfId="111" applyNumberFormat="1" applyFont="1" applyBorder="1" applyAlignment="1">
      <alignment vertical="center"/>
    </xf>
    <xf numFmtId="165" fontId="74" fillId="0" borderId="83" xfId="111" applyNumberFormat="1" applyFont="1" applyBorder="1" applyAlignment="1">
      <alignment vertical="center"/>
    </xf>
    <xf numFmtId="165" fontId="72" fillId="58" borderId="74" xfId="111" applyNumberFormat="1" applyFont="1" applyFill="1" applyBorder="1" applyAlignment="1">
      <alignment horizontal="center" vertical="center"/>
    </xf>
    <xf numFmtId="165" fontId="72" fillId="58" borderId="77" xfId="111" applyNumberFormat="1" applyFont="1" applyFill="1" applyBorder="1" applyAlignment="1">
      <alignment horizontal="right" vertical="center"/>
    </xf>
    <xf numFmtId="165" fontId="72" fillId="58" borderId="78" xfId="111" applyNumberFormat="1" applyFont="1" applyFill="1" applyBorder="1" applyAlignment="1">
      <alignment horizontal="right" vertical="center"/>
    </xf>
    <xf numFmtId="165" fontId="72" fillId="0" borderId="79" xfId="111" applyNumberFormat="1" applyFont="1" applyBorder="1" applyAlignment="1">
      <alignment vertical="center"/>
    </xf>
    <xf numFmtId="165" fontId="72" fillId="0" borderId="77" xfId="111" applyNumberFormat="1" applyFont="1" applyBorder="1" applyAlignment="1">
      <alignment vertical="center"/>
    </xf>
    <xf numFmtId="165" fontId="72" fillId="0" borderId="78" xfId="111" applyNumberFormat="1" applyFont="1" applyBorder="1" applyAlignment="1">
      <alignment vertical="center"/>
    </xf>
    <xf numFmtId="165" fontId="72" fillId="58" borderId="68" xfId="111" applyNumberFormat="1" applyFont="1" applyFill="1" applyBorder="1" applyAlignment="1">
      <alignment vertical="center"/>
    </xf>
    <xf numFmtId="165" fontId="72" fillId="58" borderId="71" xfId="111" applyNumberFormat="1" applyFont="1" applyFill="1" applyBorder="1" applyAlignment="1">
      <alignment vertical="center"/>
    </xf>
    <xf numFmtId="165" fontId="72" fillId="58" borderId="72" xfId="111" applyNumberFormat="1" applyFont="1" applyFill="1" applyBorder="1" applyAlignment="1">
      <alignment vertical="center"/>
    </xf>
    <xf numFmtId="165" fontId="74" fillId="58" borderId="74" xfId="111" applyNumberFormat="1" applyFont="1" applyFill="1" applyBorder="1" applyAlignment="1">
      <alignment vertical="center"/>
    </xf>
    <xf numFmtId="165" fontId="74" fillId="58" borderId="77" xfId="111" applyNumberFormat="1" applyFont="1" applyFill="1" applyBorder="1" applyAlignment="1">
      <alignment vertical="center"/>
    </xf>
    <xf numFmtId="165" fontId="74" fillId="58" borderId="78" xfId="111" applyNumberFormat="1" applyFont="1" applyFill="1" applyBorder="1" applyAlignment="1">
      <alignment vertical="center"/>
    </xf>
    <xf numFmtId="165" fontId="74" fillId="58" borderId="80" xfId="111" applyNumberFormat="1" applyFont="1" applyFill="1" applyBorder="1" applyAlignment="1">
      <alignment vertical="center"/>
    </xf>
    <xf numFmtId="165" fontId="74" fillId="58" borderId="82" xfId="111" applyNumberFormat="1" applyFont="1" applyFill="1" applyBorder="1" applyAlignment="1">
      <alignment vertical="center"/>
    </xf>
    <xf numFmtId="165" fontId="74" fillId="58" borderId="83" xfId="111" applyNumberFormat="1" applyFont="1" applyFill="1" applyBorder="1" applyAlignment="1">
      <alignment vertical="center"/>
    </xf>
    <xf numFmtId="165" fontId="72" fillId="58" borderId="74" xfId="111" applyNumberFormat="1" applyFont="1" applyFill="1" applyBorder="1" applyAlignment="1">
      <alignment vertical="center"/>
    </xf>
    <xf numFmtId="165" fontId="72" fillId="58" borderId="77" xfId="111" applyNumberFormat="1" applyFont="1" applyFill="1" applyBorder="1" applyAlignment="1">
      <alignment vertical="center"/>
    </xf>
    <xf numFmtId="165" fontId="72" fillId="58" borderId="78" xfId="111" applyNumberFormat="1" applyFont="1" applyFill="1" applyBorder="1" applyAlignment="1">
      <alignment vertical="center"/>
    </xf>
    <xf numFmtId="0" fontId="90" fillId="0" borderId="0" xfId="111" applyFont="1" applyAlignment="1">
      <alignment horizontal="left" indent="1"/>
    </xf>
    <xf numFmtId="0" fontId="90" fillId="0" borderId="0" xfId="111" applyFont="1" applyFill="1" applyAlignment="1">
      <alignment horizontal="left" indent="1"/>
    </xf>
    <xf numFmtId="165" fontId="62" fillId="0" borderId="0" xfId="111" applyNumberFormat="1" applyFont="1"/>
    <xf numFmtId="0" fontId="67" fillId="0" borderId="67" xfId="111" applyFont="1" applyBorder="1" applyAlignment="1" applyProtection="1">
      <alignment horizontal="center" vertical="center" wrapText="1"/>
      <protection locked="0"/>
    </xf>
    <xf numFmtId="0" fontId="68" fillId="0" borderId="0" xfId="111" applyFont="1" applyAlignment="1">
      <alignment horizontal="center"/>
    </xf>
    <xf numFmtId="0" fontId="91" fillId="0" borderId="0" xfId="111" applyFont="1" applyAlignment="1" applyProtection="1">
      <alignment horizontal="right"/>
      <protection locked="0"/>
    </xf>
    <xf numFmtId="0" fontId="58" fillId="0" borderId="0" xfId="104" applyFont="1" applyFill="1" applyAlignment="1">
      <alignment horizontal="left" vertical="center"/>
    </xf>
    <xf numFmtId="164" fontId="56" fillId="0" borderId="32" xfId="105" applyNumberFormat="1" applyFont="1" applyFill="1" applyBorder="1" applyAlignment="1">
      <alignment horizontal="center" vertical="center"/>
    </xf>
    <xf numFmtId="164" fontId="56" fillId="0" borderId="50" xfId="105" applyNumberFormat="1" applyFont="1" applyFill="1" applyBorder="1" applyAlignment="1">
      <alignment horizontal="center" vertical="center"/>
    </xf>
    <xf numFmtId="0" fontId="46" fillId="0" borderId="21" xfId="104" applyFont="1" applyFill="1" applyBorder="1" applyAlignment="1">
      <alignment horizontal="center" vertical="top"/>
    </xf>
    <xf numFmtId="0" fontId="46" fillId="0" borderId="28" xfId="104" applyFont="1" applyFill="1" applyBorder="1" applyAlignment="1">
      <alignment horizontal="center" vertical="top"/>
    </xf>
    <xf numFmtId="0" fontId="46" fillId="0" borderId="22" xfId="104" applyFont="1" applyFill="1" applyBorder="1" applyAlignment="1">
      <alignment horizontal="center" vertical="center" wrapText="1"/>
    </xf>
    <xf numFmtId="0" fontId="46" fillId="0" borderId="29" xfId="104" applyFont="1" applyFill="1" applyBorder="1" applyAlignment="1">
      <alignment horizontal="center" vertical="center" wrapText="1"/>
    </xf>
    <xf numFmtId="0" fontId="46" fillId="0" borderId="22" xfId="104" applyFont="1" applyFill="1" applyBorder="1" applyAlignment="1">
      <alignment horizontal="center" vertical="center"/>
    </xf>
    <xf numFmtId="0" fontId="46" fillId="0" borderId="29" xfId="104" applyFont="1" applyFill="1" applyBorder="1" applyAlignment="1">
      <alignment horizontal="center" vertical="center"/>
    </xf>
    <xf numFmtId="0" fontId="46" fillId="0" borderId="49" xfId="104" applyFont="1" applyFill="1" applyBorder="1" applyAlignment="1">
      <alignment horizontal="center" vertical="center"/>
    </xf>
    <xf numFmtId="164" fontId="56" fillId="0" borderId="27" xfId="105" applyNumberFormat="1" applyFont="1" applyFill="1" applyBorder="1" applyAlignment="1">
      <alignment horizontal="center" vertical="center"/>
    </xf>
    <xf numFmtId="0" fontId="52" fillId="56" borderId="43" xfId="104" applyFont="1" applyFill="1" applyBorder="1" applyAlignment="1">
      <alignment horizontal="left" vertical="top"/>
    </xf>
    <xf numFmtId="0" fontId="46" fillId="0" borderId="45" xfId="104" applyFont="1" applyFill="1" applyBorder="1" applyAlignment="1">
      <alignment horizontal="center" vertical="top"/>
    </xf>
    <xf numFmtId="0" fontId="46" fillId="0" borderId="53" xfId="104" applyFont="1" applyFill="1" applyBorder="1" applyAlignment="1">
      <alignment horizontal="center" vertical="center" wrapText="1"/>
    </xf>
    <xf numFmtId="0" fontId="46" fillId="0" borderId="31" xfId="104" applyFont="1" applyFill="1" applyBorder="1" applyAlignment="1">
      <alignment horizontal="center" vertical="center" wrapText="1"/>
    </xf>
    <xf numFmtId="0" fontId="46" fillId="0" borderId="54" xfId="104" applyFont="1" applyFill="1" applyBorder="1" applyAlignment="1">
      <alignment horizontal="center" vertical="center" wrapText="1"/>
    </xf>
    <xf numFmtId="0" fontId="46" fillId="0" borderId="53" xfId="104" applyFont="1" applyFill="1" applyBorder="1" applyAlignment="1">
      <alignment horizontal="center" vertical="center"/>
    </xf>
    <xf numFmtId="0" fontId="46" fillId="0" borderId="31" xfId="104" applyFont="1" applyFill="1" applyBorder="1" applyAlignment="1">
      <alignment horizontal="center" vertical="center"/>
    </xf>
    <xf numFmtId="0" fontId="46" fillId="0" borderId="54" xfId="104" applyFont="1" applyFill="1" applyBorder="1" applyAlignment="1">
      <alignment horizontal="center" vertical="center"/>
    </xf>
    <xf numFmtId="0" fontId="46" fillId="56" borderId="43" xfId="104" applyFont="1" applyFill="1" applyBorder="1" applyAlignment="1">
      <alignment horizontal="left" vertical="top" wrapText="1"/>
    </xf>
    <xf numFmtId="164" fontId="56" fillId="56" borderId="32" xfId="105" applyNumberFormat="1" applyFont="1" applyFill="1" applyBorder="1" applyAlignment="1">
      <alignment vertical="center"/>
    </xf>
    <xf numFmtId="164" fontId="56" fillId="56" borderId="60" xfId="105" applyNumberFormat="1" applyFont="1" applyFill="1" applyBorder="1" applyAlignment="1">
      <alignment vertical="center"/>
    </xf>
    <xf numFmtId="0" fontId="46" fillId="56" borderId="37" xfId="104" applyFont="1" applyFill="1" applyBorder="1" applyAlignment="1">
      <alignment horizontal="center" vertical="top"/>
    </xf>
    <xf numFmtId="0" fontId="46" fillId="56" borderId="28" xfId="104" applyFont="1" applyFill="1" applyBorder="1" applyAlignment="1">
      <alignment horizontal="center" vertical="top"/>
    </xf>
    <xf numFmtId="0" fontId="46" fillId="56" borderId="59" xfId="104" applyFont="1" applyFill="1" applyBorder="1" applyAlignment="1">
      <alignment horizontal="center" vertical="top"/>
    </xf>
    <xf numFmtId="0" fontId="46" fillId="56" borderId="30" xfId="104" applyFont="1" applyFill="1" applyBorder="1" applyAlignment="1">
      <alignment horizontal="left" vertical="top"/>
    </xf>
    <xf numFmtId="0" fontId="46" fillId="56" borderId="29" xfId="104" applyFont="1" applyFill="1" applyBorder="1" applyAlignment="1">
      <alignment horizontal="left" vertical="top"/>
    </xf>
    <xf numFmtId="0" fontId="46" fillId="56" borderId="53" xfId="104" applyFont="1" applyFill="1" applyBorder="1" applyAlignment="1">
      <alignment horizontal="left" vertical="top"/>
    </xf>
    <xf numFmtId="0" fontId="46" fillId="56" borderId="30" xfId="104" applyFont="1" applyFill="1" applyBorder="1" applyAlignment="1">
      <alignment horizontal="center" vertical="top"/>
    </xf>
    <xf numFmtId="0" fontId="46" fillId="56" borderId="29" xfId="104" applyFont="1" applyFill="1" applyBorder="1" applyAlignment="1">
      <alignment horizontal="center" vertical="top"/>
    </xf>
    <xf numFmtId="0" fontId="46" fillId="56" borderId="53" xfId="104" applyFont="1" applyFill="1" applyBorder="1" applyAlignment="1">
      <alignment horizontal="center" vertical="top"/>
    </xf>
    <xf numFmtId="164" fontId="56" fillId="56" borderId="38" xfId="105" applyNumberFormat="1" applyFont="1" applyFill="1" applyBorder="1" applyAlignment="1">
      <alignment vertical="center"/>
    </xf>
    <xf numFmtId="0" fontId="52" fillId="56" borderId="29" xfId="104" applyFont="1" applyFill="1" applyBorder="1" applyAlignment="1">
      <alignment horizontal="left" vertical="top"/>
    </xf>
    <xf numFmtId="0" fontId="52" fillId="56" borderId="46" xfId="104" applyFont="1" applyFill="1" applyBorder="1" applyAlignment="1">
      <alignment horizontal="left" vertical="top"/>
    </xf>
    <xf numFmtId="0" fontId="52" fillId="56" borderId="47" xfId="104" applyFont="1" applyFill="1" applyBorder="1" applyAlignment="1">
      <alignment horizontal="left" vertical="top"/>
    </xf>
    <xf numFmtId="0" fontId="52" fillId="56" borderId="48" xfId="104" applyFont="1" applyFill="1" applyBorder="1" applyAlignment="1">
      <alignment horizontal="left" vertical="top"/>
    </xf>
    <xf numFmtId="0" fontId="44" fillId="0" borderId="0" xfId="104" applyFont="1" applyAlignment="1">
      <alignment horizontal="right" wrapText="1"/>
    </xf>
    <xf numFmtId="0" fontId="45" fillId="0" borderId="0" xfId="104" applyFont="1" applyBorder="1" applyAlignment="1">
      <alignment horizontal="center" vertical="center" wrapText="1"/>
    </xf>
    <xf numFmtId="0" fontId="48" fillId="33" borderId="31" xfId="104" applyFont="1" applyFill="1" applyBorder="1" applyAlignment="1">
      <alignment horizontal="left" vertical="top"/>
    </xf>
    <xf numFmtId="0" fontId="52" fillId="0" borderId="31" xfId="104" applyFont="1" applyFill="1" applyBorder="1" applyAlignment="1">
      <alignment horizontal="left" vertical="top"/>
    </xf>
    <xf numFmtId="0" fontId="52" fillId="0" borderId="30" xfId="104" applyFont="1" applyFill="1" applyBorder="1" applyAlignment="1">
      <alignment horizontal="left" vertical="top"/>
    </xf>
    <xf numFmtId="0" fontId="46" fillId="56" borderId="40" xfId="104" applyFont="1" applyFill="1" applyBorder="1" applyAlignment="1">
      <alignment horizontal="left" vertical="top" wrapText="1"/>
    </xf>
    <xf numFmtId="0" fontId="53" fillId="56" borderId="41" xfId="104" applyFont="1" applyFill="1" applyBorder="1" applyAlignment="1">
      <alignment horizontal="left" vertical="top" wrapText="1"/>
    </xf>
    <xf numFmtId="0" fontId="53" fillId="56" borderId="42" xfId="104" applyFont="1" applyFill="1" applyBorder="1" applyAlignment="1">
      <alignment horizontal="left" vertical="top" wrapText="1"/>
    </xf>
    <xf numFmtId="0" fontId="46" fillId="57" borderId="21" xfId="104" applyFont="1" applyFill="1" applyBorder="1" applyAlignment="1">
      <alignment horizontal="center" vertical="center"/>
    </xf>
    <xf numFmtId="0" fontId="46" fillId="57" borderId="22" xfId="104" applyFont="1" applyFill="1" applyBorder="1" applyAlignment="1">
      <alignment horizontal="center" vertical="center" wrapText="1"/>
    </xf>
    <xf numFmtId="0" fontId="48" fillId="57" borderId="22" xfId="104" applyFont="1" applyFill="1" applyBorder="1" applyAlignment="1">
      <alignment horizontal="center" vertical="center" wrapText="1"/>
    </xf>
    <xf numFmtId="0" fontId="46" fillId="57" borderId="23" xfId="104" applyFont="1" applyFill="1" applyBorder="1" applyAlignment="1">
      <alignment horizontal="center" vertical="center" wrapText="1"/>
    </xf>
    <xf numFmtId="0" fontId="46" fillId="57" borderId="24" xfId="104" applyFont="1" applyFill="1" applyBorder="1" applyAlignment="1">
      <alignment horizontal="center" vertical="center" wrapText="1"/>
    </xf>
    <xf numFmtId="0" fontId="46" fillId="57" borderId="25" xfId="104" applyFont="1" applyFill="1" applyBorder="1" applyAlignment="1">
      <alignment horizontal="center" vertical="center" wrapText="1"/>
    </xf>
    <xf numFmtId="0" fontId="46" fillId="57" borderId="26" xfId="104" applyFont="1" applyFill="1" applyBorder="1" applyAlignment="1">
      <alignment horizontal="center" vertical="center" wrapText="1"/>
    </xf>
    <xf numFmtId="0" fontId="46" fillId="57" borderId="27" xfId="104" applyFont="1" applyFill="1" applyBorder="1" applyAlignment="1">
      <alignment horizontal="center" vertical="center" wrapText="1"/>
    </xf>
    <xf numFmtId="0" fontId="46" fillId="57" borderId="28" xfId="104" applyFont="1" applyFill="1" applyBorder="1" applyAlignment="1">
      <alignment horizontal="center" vertical="center"/>
    </xf>
    <xf numFmtId="0" fontId="46" fillId="57" borderId="29" xfId="104" applyFont="1" applyFill="1" applyBorder="1" applyAlignment="1">
      <alignment horizontal="center" vertical="center" wrapText="1"/>
    </xf>
    <xf numFmtId="0" fontId="48" fillId="57" borderId="29" xfId="104" applyFont="1" applyFill="1" applyBorder="1" applyAlignment="1">
      <alignment horizontal="center" vertical="center" wrapText="1"/>
    </xf>
    <xf numFmtId="0" fontId="46" fillId="57" borderId="29" xfId="104" applyFont="1" applyFill="1" applyBorder="1" applyAlignment="1">
      <alignment horizontal="center" vertical="center" wrapText="1"/>
    </xf>
    <xf numFmtId="0" fontId="46" fillId="57" borderId="30" xfId="104" applyFont="1" applyFill="1" applyBorder="1" applyAlignment="1">
      <alignment horizontal="center" vertical="center" wrapText="1"/>
    </xf>
    <xf numFmtId="0" fontId="46" fillId="57" borderId="31" xfId="104" applyFont="1" applyFill="1" applyBorder="1" applyAlignment="1">
      <alignment horizontal="center" vertical="center" wrapText="1"/>
    </xf>
    <xf numFmtId="0" fontId="46" fillId="57" borderId="32" xfId="104" applyFont="1" applyFill="1" applyBorder="1" applyAlignment="1">
      <alignment horizontal="center" vertical="center" wrapText="1"/>
    </xf>
  </cellXfs>
  <cellStyles count="112">
    <cellStyle name="20% - akcent 1 2" xfId="6"/>
    <cellStyle name="20% - akcent 1 3" xfId="7"/>
    <cellStyle name="20% - akcent 2 2" xfId="8"/>
    <cellStyle name="20% - akcent 2 3" xfId="9"/>
    <cellStyle name="20% - akcent 3 2" xfId="10"/>
    <cellStyle name="20% - akcent 3 3" xfId="11"/>
    <cellStyle name="20% - akcent 4 2" xfId="12"/>
    <cellStyle name="20% - akcent 4 3" xfId="13"/>
    <cellStyle name="20% - akcent 5 2" xfId="14"/>
    <cellStyle name="20% - akcent 5 3" xfId="15"/>
    <cellStyle name="20% - akcent 6 2" xfId="16"/>
    <cellStyle name="20% - akcent 6 3" xfId="17"/>
    <cellStyle name="40% - akcent 1 2" xfId="18"/>
    <cellStyle name="40% - akcent 1 3" xfId="19"/>
    <cellStyle name="40% - akcent 2 2" xfId="20"/>
    <cellStyle name="40% - akcent 2 3" xfId="21"/>
    <cellStyle name="40% - akcent 3 2" xfId="22"/>
    <cellStyle name="40% - akcent 3 3" xfId="23"/>
    <cellStyle name="40% - akcent 4 2" xfId="24"/>
    <cellStyle name="40% - akcent 4 3" xfId="25"/>
    <cellStyle name="40% - akcent 5 2" xfId="26"/>
    <cellStyle name="40% - akcent 5 3" xfId="27"/>
    <cellStyle name="40% - akcent 6 2" xfId="28"/>
    <cellStyle name="40% - akcent 6 3" xfId="29"/>
    <cellStyle name="60% - akcent 1 2" xfId="30"/>
    <cellStyle name="60% - akcent 1 3" xfId="31"/>
    <cellStyle name="60% - akcent 2 2" xfId="32"/>
    <cellStyle name="60% - akcent 2 3" xfId="33"/>
    <cellStyle name="60% - akcent 3 2" xfId="34"/>
    <cellStyle name="60% - akcent 3 3" xfId="35"/>
    <cellStyle name="60% - akcent 4 2" xfId="36"/>
    <cellStyle name="60% - akcent 4 3" xfId="37"/>
    <cellStyle name="60% - akcent 5 2" xfId="38"/>
    <cellStyle name="60% - akcent 5 3" xfId="39"/>
    <cellStyle name="60% - akcent 6 2" xfId="40"/>
    <cellStyle name="60% - akcent 6 3" xfId="41"/>
    <cellStyle name="Akcent 1 2" xfId="42"/>
    <cellStyle name="Akcent 1 3" xfId="43"/>
    <cellStyle name="Akcent 2 2" xfId="44"/>
    <cellStyle name="Akcent 2 3" xfId="45"/>
    <cellStyle name="Akcent 3 2" xfId="46"/>
    <cellStyle name="Akcent 3 3" xfId="47"/>
    <cellStyle name="Akcent 4 2" xfId="48"/>
    <cellStyle name="Akcent 4 3" xfId="49"/>
    <cellStyle name="Akcent 5 2" xfId="50"/>
    <cellStyle name="Akcent 5 3" xfId="51"/>
    <cellStyle name="Akcent 6 2" xfId="52"/>
    <cellStyle name="Akcent 6 3" xfId="53"/>
    <cellStyle name="Dane wejściowe 2" xfId="54"/>
    <cellStyle name="Dane wejściowe 3" xfId="55"/>
    <cellStyle name="Dane wyjściowe 2" xfId="56"/>
    <cellStyle name="Dane wyjściowe 3" xfId="57"/>
    <cellStyle name="Dobre 2" xfId="58"/>
    <cellStyle name="Dobre 3" xfId="59"/>
    <cellStyle name="Dziesiętny 2" xfId="106"/>
    <cellStyle name="Dziesiętny 2 2" xfId="105"/>
    <cellStyle name="Komórka połączona 2" xfId="60"/>
    <cellStyle name="Komórka połączona 3" xfId="61"/>
    <cellStyle name="Komórka zaznaczona 2" xfId="62"/>
    <cellStyle name="Komórka zaznaczona 3" xfId="63"/>
    <cellStyle name="Nagłówek 1 2" xfId="64"/>
    <cellStyle name="Nagłówek 1 3" xfId="65"/>
    <cellStyle name="Nagłówek 2 2" xfId="66"/>
    <cellStyle name="Nagłówek 2 3" xfId="67"/>
    <cellStyle name="Nagłówek 3 2" xfId="68"/>
    <cellStyle name="Nagłówek 3 3" xfId="69"/>
    <cellStyle name="Nagłówek 4 2" xfId="70"/>
    <cellStyle name="Nagłówek 4 3" xfId="71"/>
    <cellStyle name="Neutralne 2" xfId="72"/>
    <cellStyle name="Neutralne 3" xfId="73"/>
    <cellStyle name="Normalny" xfId="0" builtinId="0"/>
    <cellStyle name="Normalny 10" xfId="109"/>
    <cellStyle name="Normalny 11" xfId="110"/>
    <cellStyle name="Normalny 12" xfId="111"/>
    <cellStyle name="Normalny 2" xfId="1"/>
    <cellStyle name="Normalny 2 2" xfId="74"/>
    <cellStyle name="Normalny 2 2 2" xfId="104"/>
    <cellStyle name="Normalny 2 3" xfId="75"/>
    <cellStyle name="Normalny 2 4" xfId="76"/>
    <cellStyle name="Normalny 2 5" xfId="77"/>
    <cellStyle name="Normalny 2 6" xfId="78"/>
    <cellStyle name="Normalny 2 7" xfId="79"/>
    <cellStyle name="Normalny 3" xfId="80"/>
    <cellStyle name="Normalny 4" xfId="81"/>
    <cellStyle name="Normalny 5" xfId="82"/>
    <cellStyle name="Normalny 6" xfId="83"/>
    <cellStyle name="Normalny 6 2" xfId="2"/>
    <cellStyle name="Normalny 7" xfId="84"/>
    <cellStyle name="Normalny 7 2" xfId="85"/>
    <cellStyle name="Normalny 8" xfId="3"/>
    <cellStyle name="Normalny 8 2" xfId="107"/>
    <cellStyle name="Normalny 9" xfId="108"/>
    <cellStyle name="Obliczenia 2" xfId="86"/>
    <cellStyle name="Obliczenia 3" xfId="87"/>
    <cellStyle name="Procentowy 2" xfId="4"/>
    <cellStyle name="Procentowy 2 2" xfId="5"/>
    <cellStyle name="Procentowy 2 3" xfId="88"/>
    <cellStyle name="Procentowy 3" xfId="89"/>
    <cellStyle name="Procentowy 3 2" xfId="90"/>
    <cellStyle name="Procentowy 4" xfId="91"/>
    <cellStyle name="Procentowy 5" xfId="92"/>
    <cellStyle name="Suma 2" xfId="93"/>
    <cellStyle name="Suma 3" xfId="94"/>
    <cellStyle name="Tekst objaśnienia 2" xfId="95"/>
    <cellStyle name="Tekst objaśnienia 3" xfId="96"/>
    <cellStyle name="Tekst ostrzeżenia 2" xfId="97"/>
    <cellStyle name="Tekst ostrzeżenia 3" xfId="98"/>
    <cellStyle name="Tytuł 2" xfId="99"/>
    <cellStyle name="Uwaga 2" xfId="100"/>
    <cellStyle name="Uwaga 3" xfId="101"/>
    <cellStyle name="Złe 2" xfId="102"/>
    <cellStyle name="Złe 3" xfId="103"/>
  </cellStyles>
  <dxfs count="18"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PF%20BESTIA%20MARZEC%20II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ł.1_WPF_bazowy"/>
      <sheetName val="WPF_AnalizaWsk_ProjektowanieJST"/>
      <sheetName val="definicja"/>
      <sheetName val="rysunki"/>
      <sheetName val="DaneZrodlowe"/>
      <sheetName val="DaneZrodloweDoWsk"/>
    </sheetNames>
    <sheetDataSet>
      <sheetData sheetId="0"/>
      <sheetData sheetId="1"/>
      <sheetData sheetId="2"/>
      <sheetData sheetId="3"/>
      <sheetData sheetId="4">
        <row r="1">
          <cell r="N1">
            <v>2014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AM240"/>
  <sheetViews>
    <sheetView zoomScaleSheetLayoutView="43" workbookViewId="0">
      <pane xSplit="4" ySplit="7" topLeftCell="I8" activePane="bottomRight" state="frozen"/>
      <selection activeCell="H158" sqref="H158"/>
      <selection pane="topRight" activeCell="H158" sqref="H158"/>
      <selection pane="bottomLeft" activeCell="H158" sqref="H158"/>
      <selection pane="bottomRight" activeCell="S1" sqref="S1:AL1048576"/>
    </sheetView>
  </sheetViews>
  <sheetFormatPr defaultRowHeight="14.25" outlineLevelRow="5" outlineLevelCol="1"/>
  <cols>
    <col min="1" max="1" width="4.85546875" style="185" hidden="1" customWidth="1" outlineLevel="1"/>
    <col min="2" max="2" width="6.5703125" style="199" customWidth="1" collapsed="1"/>
    <col min="3" max="3" width="24.85546875" style="200" hidden="1" customWidth="1"/>
    <col min="4" max="4" width="47.7109375" style="199" customWidth="1"/>
    <col min="5" max="7" width="16" style="199" hidden="1" customWidth="1" outlineLevel="1"/>
    <col min="8" max="8" width="1.28515625" style="199" hidden="1" customWidth="1" outlineLevel="1"/>
    <col min="9" max="9" width="16" style="199" customWidth="1" collapsed="1"/>
    <col min="10" max="10" width="14.85546875" style="199" customWidth="1"/>
    <col min="11" max="11" width="15" style="199" customWidth="1"/>
    <col min="12" max="12" width="13.85546875" style="199" customWidth="1"/>
    <col min="13" max="13" width="15.28515625" style="199" customWidth="1"/>
    <col min="14" max="15" width="14.5703125" style="199" customWidth="1"/>
    <col min="16" max="16" width="15" style="199" customWidth="1"/>
    <col min="17" max="17" width="14.28515625" style="199" customWidth="1"/>
    <col min="18" max="18" width="14.85546875" style="199" customWidth="1"/>
    <col min="19" max="38" width="16" style="199" hidden="1" customWidth="1"/>
    <col min="39" max="256" width="9.140625" style="191"/>
    <col min="257" max="257" width="0" style="191" hidden="1" customWidth="1"/>
    <col min="258" max="258" width="7.5703125" style="191" customWidth="1"/>
    <col min="259" max="259" width="0" style="191" hidden="1" customWidth="1"/>
    <col min="260" max="260" width="80.7109375" style="191" customWidth="1"/>
    <col min="261" max="294" width="16" style="191" customWidth="1"/>
    <col min="295" max="512" width="9.140625" style="191"/>
    <col min="513" max="513" width="0" style="191" hidden="1" customWidth="1"/>
    <col min="514" max="514" width="7.5703125" style="191" customWidth="1"/>
    <col min="515" max="515" width="0" style="191" hidden="1" customWidth="1"/>
    <col min="516" max="516" width="80.7109375" style="191" customWidth="1"/>
    <col min="517" max="550" width="16" style="191" customWidth="1"/>
    <col min="551" max="768" width="9.140625" style="191"/>
    <col min="769" max="769" width="0" style="191" hidden="1" customWidth="1"/>
    <col min="770" max="770" width="7.5703125" style="191" customWidth="1"/>
    <col min="771" max="771" width="0" style="191" hidden="1" customWidth="1"/>
    <col min="772" max="772" width="80.7109375" style="191" customWidth="1"/>
    <col min="773" max="806" width="16" style="191" customWidth="1"/>
    <col min="807" max="1024" width="9.140625" style="191"/>
    <col min="1025" max="1025" width="0" style="191" hidden="1" customWidth="1"/>
    <col min="1026" max="1026" width="7.5703125" style="191" customWidth="1"/>
    <col min="1027" max="1027" width="0" style="191" hidden="1" customWidth="1"/>
    <col min="1028" max="1028" width="80.7109375" style="191" customWidth="1"/>
    <col min="1029" max="1062" width="16" style="191" customWidth="1"/>
    <col min="1063" max="1280" width="9.140625" style="191"/>
    <col min="1281" max="1281" width="0" style="191" hidden="1" customWidth="1"/>
    <col min="1282" max="1282" width="7.5703125" style="191" customWidth="1"/>
    <col min="1283" max="1283" width="0" style="191" hidden="1" customWidth="1"/>
    <col min="1284" max="1284" width="80.7109375" style="191" customWidth="1"/>
    <col min="1285" max="1318" width="16" style="191" customWidth="1"/>
    <col min="1319" max="1536" width="9.140625" style="191"/>
    <col min="1537" max="1537" width="0" style="191" hidden="1" customWidth="1"/>
    <col min="1538" max="1538" width="7.5703125" style="191" customWidth="1"/>
    <col min="1539" max="1539" width="0" style="191" hidden="1" customWidth="1"/>
    <col min="1540" max="1540" width="80.7109375" style="191" customWidth="1"/>
    <col min="1541" max="1574" width="16" style="191" customWidth="1"/>
    <col min="1575" max="1792" width="9.140625" style="191"/>
    <col min="1793" max="1793" width="0" style="191" hidden="1" customWidth="1"/>
    <col min="1794" max="1794" width="7.5703125" style="191" customWidth="1"/>
    <col min="1795" max="1795" width="0" style="191" hidden="1" customWidth="1"/>
    <col min="1796" max="1796" width="80.7109375" style="191" customWidth="1"/>
    <col min="1797" max="1830" width="16" style="191" customWidth="1"/>
    <col min="1831" max="2048" width="9.140625" style="191"/>
    <col min="2049" max="2049" width="0" style="191" hidden="1" customWidth="1"/>
    <col min="2050" max="2050" width="7.5703125" style="191" customWidth="1"/>
    <col min="2051" max="2051" width="0" style="191" hidden="1" customWidth="1"/>
    <col min="2052" max="2052" width="80.7109375" style="191" customWidth="1"/>
    <col min="2053" max="2086" width="16" style="191" customWidth="1"/>
    <col min="2087" max="2304" width="9.140625" style="191"/>
    <col min="2305" max="2305" width="0" style="191" hidden="1" customWidth="1"/>
    <col min="2306" max="2306" width="7.5703125" style="191" customWidth="1"/>
    <col min="2307" max="2307" width="0" style="191" hidden="1" customWidth="1"/>
    <col min="2308" max="2308" width="80.7109375" style="191" customWidth="1"/>
    <col min="2309" max="2342" width="16" style="191" customWidth="1"/>
    <col min="2343" max="2560" width="9.140625" style="191"/>
    <col min="2561" max="2561" width="0" style="191" hidden="1" customWidth="1"/>
    <col min="2562" max="2562" width="7.5703125" style="191" customWidth="1"/>
    <col min="2563" max="2563" width="0" style="191" hidden="1" customWidth="1"/>
    <col min="2564" max="2564" width="80.7109375" style="191" customWidth="1"/>
    <col min="2565" max="2598" width="16" style="191" customWidth="1"/>
    <col min="2599" max="2816" width="9.140625" style="191"/>
    <col min="2817" max="2817" width="0" style="191" hidden="1" customWidth="1"/>
    <col min="2818" max="2818" width="7.5703125" style="191" customWidth="1"/>
    <col min="2819" max="2819" width="0" style="191" hidden="1" customWidth="1"/>
    <col min="2820" max="2820" width="80.7109375" style="191" customWidth="1"/>
    <col min="2821" max="2854" width="16" style="191" customWidth="1"/>
    <col min="2855" max="3072" width="9.140625" style="191"/>
    <col min="3073" max="3073" width="0" style="191" hidden="1" customWidth="1"/>
    <col min="3074" max="3074" width="7.5703125" style="191" customWidth="1"/>
    <col min="3075" max="3075" width="0" style="191" hidden="1" customWidth="1"/>
    <col min="3076" max="3076" width="80.7109375" style="191" customWidth="1"/>
    <col min="3077" max="3110" width="16" style="191" customWidth="1"/>
    <col min="3111" max="3328" width="9.140625" style="191"/>
    <col min="3329" max="3329" width="0" style="191" hidden="1" customWidth="1"/>
    <col min="3330" max="3330" width="7.5703125" style="191" customWidth="1"/>
    <col min="3331" max="3331" width="0" style="191" hidden="1" customWidth="1"/>
    <col min="3332" max="3332" width="80.7109375" style="191" customWidth="1"/>
    <col min="3333" max="3366" width="16" style="191" customWidth="1"/>
    <col min="3367" max="3584" width="9.140625" style="191"/>
    <col min="3585" max="3585" width="0" style="191" hidden="1" customWidth="1"/>
    <col min="3586" max="3586" width="7.5703125" style="191" customWidth="1"/>
    <col min="3587" max="3587" width="0" style="191" hidden="1" customWidth="1"/>
    <col min="3588" max="3588" width="80.7109375" style="191" customWidth="1"/>
    <col min="3589" max="3622" width="16" style="191" customWidth="1"/>
    <col min="3623" max="3840" width="9.140625" style="191"/>
    <col min="3841" max="3841" width="0" style="191" hidden="1" customWidth="1"/>
    <col min="3842" max="3842" width="7.5703125" style="191" customWidth="1"/>
    <col min="3843" max="3843" width="0" style="191" hidden="1" customWidth="1"/>
    <col min="3844" max="3844" width="80.7109375" style="191" customWidth="1"/>
    <col min="3845" max="3878" width="16" style="191" customWidth="1"/>
    <col min="3879" max="4096" width="9.140625" style="191"/>
    <col min="4097" max="4097" width="0" style="191" hidden="1" customWidth="1"/>
    <col min="4098" max="4098" width="7.5703125" style="191" customWidth="1"/>
    <col min="4099" max="4099" width="0" style="191" hidden="1" customWidth="1"/>
    <col min="4100" max="4100" width="80.7109375" style="191" customWidth="1"/>
    <col min="4101" max="4134" width="16" style="191" customWidth="1"/>
    <col min="4135" max="4352" width="9.140625" style="191"/>
    <col min="4353" max="4353" width="0" style="191" hidden="1" customWidth="1"/>
    <col min="4354" max="4354" width="7.5703125" style="191" customWidth="1"/>
    <col min="4355" max="4355" width="0" style="191" hidden="1" customWidth="1"/>
    <col min="4356" max="4356" width="80.7109375" style="191" customWidth="1"/>
    <col min="4357" max="4390" width="16" style="191" customWidth="1"/>
    <col min="4391" max="4608" width="9.140625" style="191"/>
    <col min="4609" max="4609" width="0" style="191" hidden="1" customWidth="1"/>
    <col min="4610" max="4610" width="7.5703125" style="191" customWidth="1"/>
    <col min="4611" max="4611" width="0" style="191" hidden="1" customWidth="1"/>
    <col min="4612" max="4612" width="80.7109375" style="191" customWidth="1"/>
    <col min="4613" max="4646" width="16" style="191" customWidth="1"/>
    <col min="4647" max="4864" width="9.140625" style="191"/>
    <col min="4865" max="4865" width="0" style="191" hidden="1" customWidth="1"/>
    <col min="4866" max="4866" width="7.5703125" style="191" customWidth="1"/>
    <col min="4867" max="4867" width="0" style="191" hidden="1" customWidth="1"/>
    <col min="4868" max="4868" width="80.7109375" style="191" customWidth="1"/>
    <col min="4869" max="4902" width="16" style="191" customWidth="1"/>
    <col min="4903" max="5120" width="9.140625" style="191"/>
    <col min="5121" max="5121" width="0" style="191" hidden="1" customWidth="1"/>
    <col min="5122" max="5122" width="7.5703125" style="191" customWidth="1"/>
    <col min="5123" max="5123" width="0" style="191" hidden="1" customWidth="1"/>
    <col min="5124" max="5124" width="80.7109375" style="191" customWidth="1"/>
    <col min="5125" max="5158" width="16" style="191" customWidth="1"/>
    <col min="5159" max="5376" width="9.140625" style="191"/>
    <col min="5377" max="5377" width="0" style="191" hidden="1" customWidth="1"/>
    <col min="5378" max="5378" width="7.5703125" style="191" customWidth="1"/>
    <col min="5379" max="5379" width="0" style="191" hidden="1" customWidth="1"/>
    <col min="5380" max="5380" width="80.7109375" style="191" customWidth="1"/>
    <col min="5381" max="5414" width="16" style="191" customWidth="1"/>
    <col min="5415" max="5632" width="9.140625" style="191"/>
    <col min="5633" max="5633" width="0" style="191" hidden="1" customWidth="1"/>
    <col min="5634" max="5634" width="7.5703125" style="191" customWidth="1"/>
    <col min="5635" max="5635" width="0" style="191" hidden="1" customWidth="1"/>
    <col min="5636" max="5636" width="80.7109375" style="191" customWidth="1"/>
    <col min="5637" max="5670" width="16" style="191" customWidth="1"/>
    <col min="5671" max="5888" width="9.140625" style="191"/>
    <col min="5889" max="5889" width="0" style="191" hidden="1" customWidth="1"/>
    <col min="5890" max="5890" width="7.5703125" style="191" customWidth="1"/>
    <col min="5891" max="5891" width="0" style="191" hidden="1" customWidth="1"/>
    <col min="5892" max="5892" width="80.7109375" style="191" customWidth="1"/>
    <col min="5893" max="5926" width="16" style="191" customWidth="1"/>
    <col min="5927" max="6144" width="9.140625" style="191"/>
    <col min="6145" max="6145" width="0" style="191" hidden="1" customWidth="1"/>
    <col min="6146" max="6146" width="7.5703125" style="191" customWidth="1"/>
    <col min="6147" max="6147" width="0" style="191" hidden="1" customWidth="1"/>
    <col min="6148" max="6148" width="80.7109375" style="191" customWidth="1"/>
    <col min="6149" max="6182" width="16" style="191" customWidth="1"/>
    <col min="6183" max="6400" width="9.140625" style="191"/>
    <col min="6401" max="6401" width="0" style="191" hidden="1" customWidth="1"/>
    <col min="6402" max="6402" width="7.5703125" style="191" customWidth="1"/>
    <col min="6403" max="6403" width="0" style="191" hidden="1" customWidth="1"/>
    <col min="6404" max="6404" width="80.7109375" style="191" customWidth="1"/>
    <col min="6405" max="6438" width="16" style="191" customWidth="1"/>
    <col min="6439" max="6656" width="9.140625" style="191"/>
    <col min="6657" max="6657" width="0" style="191" hidden="1" customWidth="1"/>
    <col min="6658" max="6658" width="7.5703125" style="191" customWidth="1"/>
    <col min="6659" max="6659" width="0" style="191" hidden="1" customWidth="1"/>
    <col min="6660" max="6660" width="80.7109375" style="191" customWidth="1"/>
    <col min="6661" max="6694" width="16" style="191" customWidth="1"/>
    <col min="6695" max="6912" width="9.140625" style="191"/>
    <col min="6913" max="6913" width="0" style="191" hidden="1" customWidth="1"/>
    <col min="6914" max="6914" width="7.5703125" style="191" customWidth="1"/>
    <col min="6915" max="6915" width="0" style="191" hidden="1" customWidth="1"/>
    <col min="6916" max="6916" width="80.7109375" style="191" customWidth="1"/>
    <col min="6917" max="6950" width="16" style="191" customWidth="1"/>
    <col min="6951" max="7168" width="9.140625" style="191"/>
    <col min="7169" max="7169" width="0" style="191" hidden="1" customWidth="1"/>
    <col min="7170" max="7170" width="7.5703125" style="191" customWidth="1"/>
    <col min="7171" max="7171" width="0" style="191" hidden="1" customWidth="1"/>
    <col min="7172" max="7172" width="80.7109375" style="191" customWidth="1"/>
    <col min="7173" max="7206" width="16" style="191" customWidth="1"/>
    <col min="7207" max="7424" width="9.140625" style="191"/>
    <col min="7425" max="7425" width="0" style="191" hidden="1" customWidth="1"/>
    <col min="7426" max="7426" width="7.5703125" style="191" customWidth="1"/>
    <col min="7427" max="7427" width="0" style="191" hidden="1" customWidth="1"/>
    <col min="7428" max="7428" width="80.7109375" style="191" customWidth="1"/>
    <col min="7429" max="7462" width="16" style="191" customWidth="1"/>
    <col min="7463" max="7680" width="9.140625" style="191"/>
    <col min="7681" max="7681" width="0" style="191" hidden="1" customWidth="1"/>
    <col min="7682" max="7682" width="7.5703125" style="191" customWidth="1"/>
    <col min="7683" max="7683" width="0" style="191" hidden="1" customWidth="1"/>
    <col min="7684" max="7684" width="80.7109375" style="191" customWidth="1"/>
    <col min="7685" max="7718" width="16" style="191" customWidth="1"/>
    <col min="7719" max="7936" width="9.140625" style="191"/>
    <col min="7937" max="7937" width="0" style="191" hidden="1" customWidth="1"/>
    <col min="7938" max="7938" width="7.5703125" style="191" customWidth="1"/>
    <col min="7939" max="7939" width="0" style="191" hidden="1" customWidth="1"/>
    <col min="7940" max="7940" width="80.7109375" style="191" customWidth="1"/>
    <col min="7941" max="7974" width="16" style="191" customWidth="1"/>
    <col min="7975" max="8192" width="9.140625" style="191"/>
    <col min="8193" max="8193" width="0" style="191" hidden="1" customWidth="1"/>
    <col min="8194" max="8194" width="7.5703125" style="191" customWidth="1"/>
    <col min="8195" max="8195" width="0" style="191" hidden="1" customWidth="1"/>
    <col min="8196" max="8196" width="80.7109375" style="191" customWidth="1"/>
    <col min="8197" max="8230" width="16" style="191" customWidth="1"/>
    <col min="8231" max="8448" width="9.140625" style="191"/>
    <col min="8449" max="8449" width="0" style="191" hidden="1" customWidth="1"/>
    <col min="8450" max="8450" width="7.5703125" style="191" customWidth="1"/>
    <col min="8451" max="8451" width="0" style="191" hidden="1" customWidth="1"/>
    <col min="8452" max="8452" width="80.7109375" style="191" customWidth="1"/>
    <col min="8453" max="8486" width="16" style="191" customWidth="1"/>
    <col min="8487" max="8704" width="9.140625" style="191"/>
    <col min="8705" max="8705" width="0" style="191" hidden="1" customWidth="1"/>
    <col min="8706" max="8706" width="7.5703125" style="191" customWidth="1"/>
    <col min="8707" max="8707" width="0" style="191" hidden="1" customWidth="1"/>
    <col min="8708" max="8708" width="80.7109375" style="191" customWidth="1"/>
    <col min="8709" max="8742" width="16" style="191" customWidth="1"/>
    <col min="8743" max="8960" width="9.140625" style="191"/>
    <col min="8961" max="8961" width="0" style="191" hidden="1" customWidth="1"/>
    <col min="8962" max="8962" width="7.5703125" style="191" customWidth="1"/>
    <col min="8963" max="8963" width="0" style="191" hidden="1" customWidth="1"/>
    <col min="8964" max="8964" width="80.7109375" style="191" customWidth="1"/>
    <col min="8965" max="8998" width="16" style="191" customWidth="1"/>
    <col min="8999" max="9216" width="9.140625" style="191"/>
    <col min="9217" max="9217" width="0" style="191" hidden="1" customWidth="1"/>
    <col min="9218" max="9218" width="7.5703125" style="191" customWidth="1"/>
    <col min="9219" max="9219" width="0" style="191" hidden="1" customWidth="1"/>
    <col min="9220" max="9220" width="80.7109375" style="191" customWidth="1"/>
    <col min="9221" max="9254" width="16" style="191" customWidth="1"/>
    <col min="9255" max="9472" width="9.140625" style="191"/>
    <col min="9473" max="9473" width="0" style="191" hidden="1" customWidth="1"/>
    <col min="9474" max="9474" width="7.5703125" style="191" customWidth="1"/>
    <col min="9475" max="9475" width="0" style="191" hidden="1" customWidth="1"/>
    <col min="9476" max="9476" width="80.7109375" style="191" customWidth="1"/>
    <col min="9477" max="9510" width="16" style="191" customWidth="1"/>
    <col min="9511" max="9728" width="9.140625" style="191"/>
    <col min="9729" max="9729" width="0" style="191" hidden="1" customWidth="1"/>
    <col min="9730" max="9730" width="7.5703125" style="191" customWidth="1"/>
    <col min="9731" max="9731" width="0" style="191" hidden="1" customWidth="1"/>
    <col min="9732" max="9732" width="80.7109375" style="191" customWidth="1"/>
    <col min="9733" max="9766" width="16" style="191" customWidth="1"/>
    <col min="9767" max="9984" width="9.140625" style="191"/>
    <col min="9985" max="9985" width="0" style="191" hidden="1" customWidth="1"/>
    <col min="9986" max="9986" width="7.5703125" style="191" customWidth="1"/>
    <col min="9987" max="9987" width="0" style="191" hidden="1" customWidth="1"/>
    <col min="9988" max="9988" width="80.7109375" style="191" customWidth="1"/>
    <col min="9989" max="10022" width="16" style="191" customWidth="1"/>
    <col min="10023" max="10240" width="9.140625" style="191"/>
    <col min="10241" max="10241" width="0" style="191" hidden="1" customWidth="1"/>
    <col min="10242" max="10242" width="7.5703125" style="191" customWidth="1"/>
    <col min="10243" max="10243" width="0" style="191" hidden="1" customWidth="1"/>
    <col min="10244" max="10244" width="80.7109375" style="191" customWidth="1"/>
    <col min="10245" max="10278" width="16" style="191" customWidth="1"/>
    <col min="10279" max="10496" width="9.140625" style="191"/>
    <col min="10497" max="10497" width="0" style="191" hidden="1" customWidth="1"/>
    <col min="10498" max="10498" width="7.5703125" style="191" customWidth="1"/>
    <col min="10499" max="10499" width="0" style="191" hidden="1" customWidth="1"/>
    <col min="10500" max="10500" width="80.7109375" style="191" customWidth="1"/>
    <col min="10501" max="10534" width="16" style="191" customWidth="1"/>
    <col min="10535" max="10752" width="9.140625" style="191"/>
    <col min="10753" max="10753" width="0" style="191" hidden="1" customWidth="1"/>
    <col min="10754" max="10754" width="7.5703125" style="191" customWidth="1"/>
    <col min="10755" max="10755" width="0" style="191" hidden="1" customWidth="1"/>
    <col min="10756" max="10756" width="80.7109375" style="191" customWidth="1"/>
    <col min="10757" max="10790" width="16" style="191" customWidth="1"/>
    <col min="10791" max="11008" width="9.140625" style="191"/>
    <col min="11009" max="11009" width="0" style="191" hidden="1" customWidth="1"/>
    <col min="11010" max="11010" width="7.5703125" style="191" customWidth="1"/>
    <col min="11011" max="11011" width="0" style="191" hidden="1" customWidth="1"/>
    <col min="11012" max="11012" width="80.7109375" style="191" customWidth="1"/>
    <col min="11013" max="11046" width="16" style="191" customWidth="1"/>
    <col min="11047" max="11264" width="9.140625" style="191"/>
    <col min="11265" max="11265" width="0" style="191" hidden="1" customWidth="1"/>
    <col min="11266" max="11266" width="7.5703125" style="191" customWidth="1"/>
    <col min="11267" max="11267" width="0" style="191" hidden="1" customWidth="1"/>
    <col min="11268" max="11268" width="80.7109375" style="191" customWidth="1"/>
    <col min="11269" max="11302" width="16" style="191" customWidth="1"/>
    <col min="11303" max="11520" width="9.140625" style="191"/>
    <col min="11521" max="11521" width="0" style="191" hidden="1" customWidth="1"/>
    <col min="11522" max="11522" width="7.5703125" style="191" customWidth="1"/>
    <col min="11523" max="11523" width="0" style="191" hidden="1" customWidth="1"/>
    <col min="11524" max="11524" width="80.7109375" style="191" customWidth="1"/>
    <col min="11525" max="11558" width="16" style="191" customWidth="1"/>
    <col min="11559" max="11776" width="9.140625" style="191"/>
    <col min="11777" max="11777" width="0" style="191" hidden="1" customWidth="1"/>
    <col min="11778" max="11778" width="7.5703125" style="191" customWidth="1"/>
    <col min="11779" max="11779" width="0" style="191" hidden="1" customWidth="1"/>
    <col min="11780" max="11780" width="80.7109375" style="191" customWidth="1"/>
    <col min="11781" max="11814" width="16" style="191" customWidth="1"/>
    <col min="11815" max="12032" width="9.140625" style="191"/>
    <col min="12033" max="12033" width="0" style="191" hidden="1" customWidth="1"/>
    <col min="12034" max="12034" width="7.5703125" style="191" customWidth="1"/>
    <col min="12035" max="12035" width="0" style="191" hidden="1" customWidth="1"/>
    <col min="12036" max="12036" width="80.7109375" style="191" customWidth="1"/>
    <col min="12037" max="12070" width="16" style="191" customWidth="1"/>
    <col min="12071" max="12288" width="9.140625" style="191"/>
    <col min="12289" max="12289" width="0" style="191" hidden="1" customWidth="1"/>
    <col min="12290" max="12290" width="7.5703125" style="191" customWidth="1"/>
    <col min="12291" max="12291" width="0" style="191" hidden="1" customWidth="1"/>
    <col min="12292" max="12292" width="80.7109375" style="191" customWidth="1"/>
    <col min="12293" max="12326" width="16" style="191" customWidth="1"/>
    <col min="12327" max="12544" width="9.140625" style="191"/>
    <col min="12545" max="12545" width="0" style="191" hidden="1" customWidth="1"/>
    <col min="12546" max="12546" width="7.5703125" style="191" customWidth="1"/>
    <col min="12547" max="12547" width="0" style="191" hidden="1" customWidth="1"/>
    <col min="12548" max="12548" width="80.7109375" style="191" customWidth="1"/>
    <col min="12549" max="12582" width="16" style="191" customWidth="1"/>
    <col min="12583" max="12800" width="9.140625" style="191"/>
    <col min="12801" max="12801" width="0" style="191" hidden="1" customWidth="1"/>
    <col min="12802" max="12802" width="7.5703125" style="191" customWidth="1"/>
    <col min="12803" max="12803" width="0" style="191" hidden="1" customWidth="1"/>
    <col min="12804" max="12804" width="80.7109375" style="191" customWidth="1"/>
    <col min="12805" max="12838" width="16" style="191" customWidth="1"/>
    <col min="12839" max="13056" width="9.140625" style="191"/>
    <col min="13057" max="13057" width="0" style="191" hidden="1" customWidth="1"/>
    <col min="13058" max="13058" width="7.5703125" style="191" customWidth="1"/>
    <col min="13059" max="13059" width="0" style="191" hidden="1" customWidth="1"/>
    <col min="13060" max="13060" width="80.7109375" style="191" customWidth="1"/>
    <col min="13061" max="13094" width="16" style="191" customWidth="1"/>
    <col min="13095" max="13312" width="9.140625" style="191"/>
    <col min="13313" max="13313" width="0" style="191" hidden="1" customWidth="1"/>
    <col min="13314" max="13314" width="7.5703125" style="191" customWidth="1"/>
    <col min="13315" max="13315" width="0" style="191" hidden="1" customWidth="1"/>
    <col min="13316" max="13316" width="80.7109375" style="191" customWidth="1"/>
    <col min="13317" max="13350" width="16" style="191" customWidth="1"/>
    <col min="13351" max="13568" width="9.140625" style="191"/>
    <col min="13569" max="13569" width="0" style="191" hidden="1" customWidth="1"/>
    <col min="13570" max="13570" width="7.5703125" style="191" customWidth="1"/>
    <col min="13571" max="13571" width="0" style="191" hidden="1" customWidth="1"/>
    <col min="13572" max="13572" width="80.7109375" style="191" customWidth="1"/>
    <col min="13573" max="13606" width="16" style="191" customWidth="1"/>
    <col min="13607" max="13824" width="9.140625" style="191"/>
    <col min="13825" max="13825" width="0" style="191" hidden="1" customWidth="1"/>
    <col min="13826" max="13826" width="7.5703125" style="191" customWidth="1"/>
    <col min="13827" max="13827" width="0" style="191" hidden="1" customWidth="1"/>
    <col min="13828" max="13828" width="80.7109375" style="191" customWidth="1"/>
    <col min="13829" max="13862" width="16" style="191" customWidth="1"/>
    <col min="13863" max="14080" width="9.140625" style="191"/>
    <col min="14081" max="14081" width="0" style="191" hidden="1" customWidth="1"/>
    <col min="14082" max="14082" width="7.5703125" style="191" customWidth="1"/>
    <col min="14083" max="14083" width="0" style="191" hidden="1" customWidth="1"/>
    <col min="14084" max="14084" width="80.7109375" style="191" customWidth="1"/>
    <col min="14085" max="14118" width="16" style="191" customWidth="1"/>
    <col min="14119" max="14336" width="9.140625" style="191"/>
    <col min="14337" max="14337" width="0" style="191" hidden="1" customWidth="1"/>
    <col min="14338" max="14338" width="7.5703125" style="191" customWidth="1"/>
    <col min="14339" max="14339" width="0" style="191" hidden="1" customWidth="1"/>
    <col min="14340" max="14340" width="80.7109375" style="191" customWidth="1"/>
    <col min="14341" max="14374" width="16" style="191" customWidth="1"/>
    <col min="14375" max="14592" width="9.140625" style="191"/>
    <col min="14593" max="14593" width="0" style="191" hidden="1" customWidth="1"/>
    <col min="14594" max="14594" width="7.5703125" style="191" customWidth="1"/>
    <col min="14595" max="14595" width="0" style="191" hidden="1" customWidth="1"/>
    <col min="14596" max="14596" width="80.7109375" style="191" customWidth="1"/>
    <col min="14597" max="14630" width="16" style="191" customWidth="1"/>
    <col min="14631" max="14848" width="9.140625" style="191"/>
    <col min="14849" max="14849" width="0" style="191" hidden="1" customWidth="1"/>
    <col min="14850" max="14850" width="7.5703125" style="191" customWidth="1"/>
    <col min="14851" max="14851" width="0" style="191" hidden="1" customWidth="1"/>
    <col min="14852" max="14852" width="80.7109375" style="191" customWidth="1"/>
    <col min="14853" max="14886" width="16" style="191" customWidth="1"/>
    <col min="14887" max="15104" width="9.140625" style="191"/>
    <col min="15105" max="15105" width="0" style="191" hidden="1" customWidth="1"/>
    <col min="15106" max="15106" width="7.5703125" style="191" customWidth="1"/>
    <col min="15107" max="15107" width="0" style="191" hidden="1" customWidth="1"/>
    <col min="15108" max="15108" width="80.7109375" style="191" customWidth="1"/>
    <col min="15109" max="15142" width="16" style="191" customWidth="1"/>
    <col min="15143" max="15360" width="9.140625" style="191"/>
    <col min="15361" max="15361" width="0" style="191" hidden="1" customWidth="1"/>
    <col min="15362" max="15362" width="7.5703125" style="191" customWidth="1"/>
    <col min="15363" max="15363" width="0" style="191" hidden="1" customWidth="1"/>
    <col min="15364" max="15364" width="80.7109375" style="191" customWidth="1"/>
    <col min="15365" max="15398" width="16" style="191" customWidth="1"/>
    <col min="15399" max="15616" width="9.140625" style="191"/>
    <col min="15617" max="15617" width="0" style="191" hidden="1" customWidth="1"/>
    <col min="15618" max="15618" width="7.5703125" style="191" customWidth="1"/>
    <col min="15619" max="15619" width="0" style="191" hidden="1" customWidth="1"/>
    <col min="15620" max="15620" width="80.7109375" style="191" customWidth="1"/>
    <col min="15621" max="15654" width="16" style="191" customWidth="1"/>
    <col min="15655" max="15872" width="9.140625" style="191"/>
    <col min="15873" max="15873" width="0" style="191" hidden="1" customWidth="1"/>
    <col min="15874" max="15874" width="7.5703125" style="191" customWidth="1"/>
    <col min="15875" max="15875" width="0" style="191" hidden="1" customWidth="1"/>
    <col min="15876" max="15876" width="80.7109375" style="191" customWidth="1"/>
    <col min="15877" max="15910" width="16" style="191" customWidth="1"/>
    <col min="15911" max="16128" width="9.140625" style="191"/>
    <col min="16129" max="16129" width="0" style="191" hidden="1" customWidth="1"/>
    <col min="16130" max="16130" width="7.5703125" style="191" customWidth="1"/>
    <col min="16131" max="16131" width="0" style="191" hidden="1" customWidth="1"/>
    <col min="16132" max="16132" width="80.7109375" style="191" customWidth="1"/>
    <col min="16133" max="16166" width="16" style="191" customWidth="1"/>
    <col min="16167" max="16384" width="9.140625" style="191"/>
  </cols>
  <sheetData>
    <row r="1" spans="1:39">
      <c r="B1" s="186"/>
      <c r="C1" s="187"/>
      <c r="D1" s="188"/>
      <c r="E1" s="189"/>
      <c r="F1" s="189"/>
      <c r="G1" s="189"/>
      <c r="H1" s="189"/>
      <c r="I1" s="190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8"/>
    </row>
    <row r="2" spans="1:39" ht="15">
      <c r="B2" s="192"/>
      <c r="C2" s="193"/>
      <c r="D2" s="194"/>
      <c r="E2" s="189"/>
      <c r="F2" s="189"/>
      <c r="G2" s="189"/>
      <c r="H2" s="189"/>
      <c r="I2" s="189"/>
      <c r="J2" s="189"/>
      <c r="K2" s="189"/>
      <c r="L2" s="189"/>
      <c r="M2" s="471" t="s">
        <v>616</v>
      </c>
      <c r="N2" s="471"/>
      <c r="O2" s="471"/>
      <c r="P2" s="471"/>
      <c r="Q2" s="471"/>
      <c r="R2" s="471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8"/>
    </row>
    <row r="3" spans="1:39" ht="15">
      <c r="B3" s="192"/>
      <c r="C3" s="195"/>
      <c r="D3" s="188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8"/>
    </row>
    <row r="4" spans="1:39">
      <c r="B4" s="196"/>
      <c r="C4" s="197"/>
      <c r="D4" s="198"/>
      <c r="E4" s="189"/>
      <c r="F4" s="189"/>
      <c r="G4" s="189"/>
      <c r="H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8"/>
    </row>
    <row r="5" spans="1:39">
      <c r="B5" s="470" t="s">
        <v>615</v>
      </c>
      <c r="C5" s="470"/>
      <c r="D5" s="470"/>
      <c r="E5" s="470"/>
      <c r="F5" s="470"/>
      <c r="G5" s="470"/>
      <c r="H5" s="470"/>
      <c r="I5" s="470"/>
      <c r="J5" s="470"/>
      <c r="K5" s="470"/>
      <c r="L5" s="470"/>
      <c r="M5" s="470"/>
      <c r="N5" s="470"/>
      <c r="O5" s="470"/>
      <c r="P5" s="470"/>
      <c r="Q5" s="470"/>
      <c r="R5" s="470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8"/>
    </row>
    <row r="6" spans="1:39" ht="11.25" customHeight="1">
      <c r="B6" s="189"/>
      <c r="C6" s="197"/>
      <c r="D6" s="201"/>
      <c r="E6" s="469" t="s">
        <v>199</v>
      </c>
      <c r="F6" s="469"/>
      <c r="G6" s="202" t="s">
        <v>200</v>
      </c>
      <c r="H6" s="202" t="s">
        <v>199</v>
      </c>
      <c r="I6" s="203" t="str">
        <f>""</f>
        <v/>
      </c>
      <c r="J6" s="204"/>
      <c r="K6" s="204"/>
      <c r="L6" s="204"/>
      <c r="M6" s="204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8"/>
    </row>
    <row r="7" spans="1:39">
      <c r="A7" s="205" t="s">
        <v>201</v>
      </c>
      <c r="B7" s="206" t="s">
        <v>0</v>
      </c>
      <c r="C7" s="207" t="s">
        <v>202</v>
      </c>
      <c r="D7" s="208" t="s">
        <v>203</v>
      </c>
      <c r="E7" s="209">
        <f>+F7-1</f>
        <v>2011</v>
      </c>
      <c r="F7" s="210">
        <f>+G7-1</f>
        <v>2012</v>
      </c>
      <c r="G7" s="210">
        <f>+H7</f>
        <v>2013</v>
      </c>
      <c r="H7" s="211">
        <f>+I7-1</f>
        <v>2013</v>
      </c>
      <c r="I7" s="212">
        <f>+[1]DaneZrodlowe!$N$1</f>
        <v>2014</v>
      </c>
      <c r="J7" s="213">
        <f>+I7+1</f>
        <v>2015</v>
      </c>
      <c r="K7" s="213">
        <f t="shared" ref="K7:AL7" si="0">+J7+1</f>
        <v>2016</v>
      </c>
      <c r="L7" s="213">
        <f t="shared" si="0"/>
        <v>2017</v>
      </c>
      <c r="M7" s="213">
        <f t="shared" si="0"/>
        <v>2018</v>
      </c>
      <c r="N7" s="213">
        <f t="shared" si="0"/>
        <v>2019</v>
      </c>
      <c r="O7" s="213">
        <f t="shared" si="0"/>
        <v>2020</v>
      </c>
      <c r="P7" s="213">
        <f t="shared" si="0"/>
        <v>2021</v>
      </c>
      <c r="Q7" s="213">
        <f t="shared" si="0"/>
        <v>2022</v>
      </c>
      <c r="R7" s="213">
        <f t="shared" si="0"/>
        <v>2023</v>
      </c>
      <c r="S7" s="213">
        <f t="shared" si="0"/>
        <v>2024</v>
      </c>
      <c r="T7" s="213">
        <f t="shared" si="0"/>
        <v>2025</v>
      </c>
      <c r="U7" s="213">
        <f t="shared" si="0"/>
        <v>2026</v>
      </c>
      <c r="V7" s="213">
        <f t="shared" si="0"/>
        <v>2027</v>
      </c>
      <c r="W7" s="213">
        <f t="shared" si="0"/>
        <v>2028</v>
      </c>
      <c r="X7" s="213">
        <f t="shared" si="0"/>
        <v>2029</v>
      </c>
      <c r="Y7" s="213">
        <f t="shared" si="0"/>
        <v>2030</v>
      </c>
      <c r="Z7" s="213">
        <f t="shared" si="0"/>
        <v>2031</v>
      </c>
      <c r="AA7" s="213">
        <f t="shared" si="0"/>
        <v>2032</v>
      </c>
      <c r="AB7" s="213">
        <f t="shared" si="0"/>
        <v>2033</v>
      </c>
      <c r="AC7" s="213">
        <f t="shared" si="0"/>
        <v>2034</v>
      </c>
      <c r="AD7" s="213">
        <f t="shared" si="0"/>
        <v>2035</v>
      </c>
      <c r="AE7" s="213">
        <f t="shared" si="0"/>
        <v>2036</v>
      </c>
      <c r="AF7" s="213">
        <f t="shared" si="0"/>
        <v>2037</v>
      </c>
      <c r="AG7" s="213">
        <f t="shared" si="0"/>
        <v>2038</v>
      </c>
      <c r="AH7" s="213">
        <f t="shared" si="0"/>
        <v>2039</v>
      </c>
      <c r="AI7" s="213">
        <f t="shared" si="0"/>
        <v>2040</v>
      </c>
      <c r="AJ7" s="213">
        <f t="shared" si="0"/>
        <v>2041</v>
      </c>
      <c r="AK7" s="213">
        <f t="shared" si="0"/>
        <v>2042</v>
      </c>
      <c r="AL7" s="214">
        <f t="shared" si="0"/>
        <v>2043</v>
      </c>
      <c r="AM7" s="215"/>
    </row>
    <row r="8" spans="1:39" ht="15" outlineLevel="1">
      <c r="A8" s="185" t="s">
        <v>204</v>
      </c>
      <c r="B8" s="216">
        <v>1</v>
      </c>
      <c r="C8" s="217" t="s">
        <v>205</v>
      </c>
      <c r="D8" s="218" t="s">
        <v>205</v>
      </c>
      <c r="E8" s="219">
        <f>18734729.55</f>
        <v>18734729.550000001</v>
      </c>
      <c r="F8" s="220">
        <f>20245143.63</f>
        <v>20245143.629999999</v>
      </c>
      <c r="G8" s="220">
        <f>24139022.15</f>
        <v>24139022.149999999</v>
      </c>
      <c r="H8" s="221">
        <f>20184871.67</f>
        <v>20184871.670000002</v>
      </c>
      <c r="I8" s="222">
        <f>22832644.27</f>
        <v>22832644.27</v>
      </c>
      <c r="J8" s="223">
        <f>21419364</f>
        <v>21419364</v>
      </c>
      <c r="K8" s="223">
        <f>22040927</f>
        <v>22040927</v>
      </c>
      <c r="L8" s="223">
        <f>23355480</f>
        <v>23355480</v>
      </c>
      <c r="M8" s="223">
        <f>23540260</f>
        <v>23540260</v>
      </c>
      <c r="N8" s="223">
        <f>24625900</f>
        <v>24625900</v>
      </c>
      <c r="O8" s="223">
        <f>25270936</f>
        <v>25270936</v>
      </c>
      <c r="P8" s="223">
        <f>27683412</f>
        <v>27683412</v>
      </c>
      <c r="Q8" s="223">
        <f>30394663</f>
        <v>30394663</v>
      </c>
      <c r="R8" s="223">
        <f>31905503.42</f>
        <v>31905503.420000002</v>
      </c>
      <c r="S8" s="223">
        <f>0</f>
        <v>0</v>
      </c>
      <c r="T8" s="223">
        <f>0</f>
        <v>0</v>
      </c>
      <c r="U8" s="223">
        <f>0</f>
        <v>0</v>
      </c>
      <c r="V8" s="223">
        <f>0</f>
        <v>0</v>
      </c>
      <c r="W8" s="223">
        <f>0</f>
        <v>0</v>
      </c>
      <c r="X8" s="223">
        <f>0</f>
        <v>0</v>
      </c>
      <c r="Y8" s="223">
        <f>0</f>
        <v>0</v>
      </c>
      <c r="Z8" s="223">
        <f>0</f>
        <v>0</v>
      </c>
      <c r="AA8" s="223">
        <f>0</f>
        <v>0</v>
      </c>
      <c r="AB8" s="223">
        <f>0</f>
        <v>0</v>
      </c>
      <c r="AC8" s="223">
        <f>0</f>
        <v>0</v>
      </c>
      <c r="AD8" s="223">
        <f>0</f>
        <v>0</v>
      </c>
      <c r="AE8" s="223">
        <f>0</f>
        <v>0</v>
      </c>
      <c r="AF8" s="223">
        <f>0</f>
        <v>0</v>
      </c>
      <c r="AG8" s="223">
        <f>0</f>
        <v>0</v>
      </c>
      <c r="AH8" s="223">
        <f>0</f>
        <v>0</v>
      </c>
      <c r="AI8" s="223">
        <f>0</f>
        <v>0</v>
      </c>
      <c r="AJ8" s="223">
        <f>0</f>
        <v>0</v>
      </c>
      <c r="AK8" s="223">
        <f>0</f>
        <v>0</v>
      </c>
      <c r="AL8" s="224">
        <f>0</f>
        <v>0</v>
      </c>
      <c r="AM8" s="225"/>
    </row>
    <row r="9" spans="1:39" outlineLevel="2">
      <c r="A9" s="185" t="s">
        <v>204</v>
      </c>
      <c r="B9" s="226" t="s">
        <v>1</v>
      </c>
      <c r="C9" s="227" t="s">
        <v>206</v>
      </c>
      <c r="D9" s="228" t="s">
        <v>207</v>
      </c>
      <c r="E9" s="229">
        <f>14547878.58</f>
        <v>14547878.58</v>
      </c>
      <c r="F9" s="230">
        <f>17323122.3</f>
        <v>17323122.300000001</v>
      </c>
      <c r="G9" s="230">
        <f>19029276.15</f>
        <v>19029276.149999999</v>
      </c>
      <c r="H9" s="231">
        <f>17672294.68</f>
        <v>17672294.68</v>
      </c>
      <c r="I9" s="232">
        <f>19394758.27</f>
        <v>19394758.27</v>
      </c>
      <c r="J9" s="233">
        <f>19721065</f>
        <v>19721065</v>
      </c>
      <c r="K9" s="233">
        <f>20570927</f>
        <v>20570927</v>
      </c>
      <c r="L9" s="233">
        <f>21455480</f>
        <v>21455480</v>
      </c>
      <c r="M9" s="233">
        <f>22315260</f>
        <v>22315260</v>
      </c>
      <c r="N9" s="233">
        <f>23375900</f>
        <v>23375900</v>
      </c>
      <c r="O9" s="233">
        <f>24310936</f>
        <v>24310936</v>
      </c>
      <c r="P9" s="233">
        <f>25283412</f>
        <v>25283412</v>
      </c>
      <c r="Q9" s="233">
        <f>26294663</f>
        <v>26294663</v>
      </c>
      <c r="R9" s="233">
        <f>27305503.42</f>
        <v>27305503.420000002</v>
      </c>
      <c r="S9" s="233">
        <f>0</f>
        <v>0</v>
      </c>
      <c r="T9" s="233">
        <f>0</f>
        <v>0</v>
      </c>
      <c r="U9" s="233">
        <f>0</f>
        <v>0</v>
      </c>
      <c r="V9" s="233">
        <f>0</f>
        <v>0</v>
      </c>
      <c r="W9" s="233">
        <f>0</f>
        <v>0</v>
      </c>
      <c r="X9" s="233">
        <f>0</f>
        <v>0</v>
      </c>
      <c r="Y9" s="233">
        <f>0</f>
        <v>0</v>
      </c>
      <c r="Z9" s="233">
        <f>0</f>
        <v>0</v>
      </c>
      <c r="AA9" s="233">
        <f>0</f>
        <v>0</v>
      </c>
      <c r="AB9" s="233">
        <f>0</f>
        <v>0</v>
      </c>
      <c r="AC9" s="233">
        <f>0</f>
        <v>0</v>
      </c>
      <c r="AD9" s="233">
        <f>0</f>
        <v>0</v>
      </c>
      <c r="AE9" s="233">
        <f>0</f>
        <v>0</v>
      </c>
      <c r="AF9" s="233">
        <f>0</f>
        <v>0</v>
      </c>
      <c r="AG9" s="233">
        <f>0</f>
        <v>0</v>
      </c>
      <c r="AH9" s="233">
        <f>0</f>
        <v>0</v>
      </c>
      <c r="AI9" s="233">
        <f>0</f>
        <v>0</v>
      </c>
      <c r="AJ9" s="233">
        <f>0</f>
        <v>0</v>
      </c>
      <c r="AK9" s="233">
        <f>0</f>
        <v>0</v>
      </c>
      <c r="AL9" s="234">
        <f>0</f>
        <v>0</v>
      </c>
    </row>
    <row r="10" spans="1:39" ht="23.25" customHeight="1" outlineLevel="3">
      <c r="B10" s="226" t="s">
        <v>2</v>
      </c>
      <c r="C10" s="235" t="s">
        <v>208</v>
      </c>
      <c r="D10" s="236" t="s">
        <v>209</v>
      </c>
      <c r="E10" s="229">
        <f>0</f>
        <v>0</v>
      </c>
      <c r="F10" s="230">
        <f>3151779</f>
        <v>3151779</v>
      </c>
      <c r="G10" s="230">
        <f>3351551</f>
        <v>3351551</v>
      </c>
      <c r="H10" s="231">
        <f>3229309</f>
        <v>3229309</v>
      </c>
      <c r="I10" s="232">
        <f>3290694</f>
        <v>3290694</v>
      </c>
      <c r="J10" s="233">
        <f>3389414</f>
        <v>3389414</v>
      </c>
      <c r="K10" s="233">
        <f>3524990</f>
        <v>3524990</v>
      </c>
      <c r="L10" s="233">
        <f>3665989</f>
        <v>3665989</v>
      </c>
      <c r="M10" s="233">
        <f>0</f>
        <v>0</v>
      </c>
      <c r="N10" s="233">
        <f>0</f>
        <v>0</v>
      </c>
      <c r="O10" s="233">
        <f>0</f>
        <v>0</v>
      </c>
      <c r="P10" s="233">
        <f>0</f>
        <v>0</v>
      </c>
      <c r="Q10" s="233">
        <f>0</f>
        <v>0</v>
      </c>
      <c r="R10" s="233">
        <f>0</f>
        <v>0</v>
      </c>
      <c r="S10" s="233">
        <f>0</f>
        <v>0</v>
      </c>
      <c r="T10" s="233">
        <f>0</f>
        <v>0</v>
      </c>
      <c r="U10" s="233">
        <f>0</f>
        <v>0</v>
      </c>
      <c r="V10" s="233">
        <f>0</f>
        <v>0</v>
      </c>
      <c r="W10" s="233">
        <f>0</f>
        <v>0</v>
      </c>
      <c r="X10" s="233">
        <f>0</f>
        <v>0</v>
      </c>
      <c r="Y10" s="233">
        <f>0</f>
        <v>0</v>
      </c>
      <c r="Z10" s="233">
        <f>0</f>
        <v>0</v>
      </c>
      <c r="AA10" s="233">
        <f>0</f>
        <v>0</v>
      </c>
      <c r="AB10" s="233">
        <f>0</f>
        <v>0</v>
      </c>
      <c r="AC10" s="233">
        <f>0</f>
        <v>0</v>
      </c>
      <c r="AD10" s="233">
        <f>0</f>
        <v>0</v>
      </c>
      <c r="AE10" s="233">
        <f>0</f>
        <v>0</v>
      </c>
      <c r="AF10" s="233">
        <f>0</f>
        <v>0</v>
      </c>
      <c r="AG10" s="233">
        <f>0</f>
        <v>0</v>
      </c>
      <c r="AH10" s="233">
        <f>0</f>
        <v>0</v>
      </c>
      <c r="AI10" s="233">
        <f>0</f>
        <v>0</v>
      </c>
      <c r="AJ10" s="233">
        <f>0</f>
        <v>0</v>
      </c>
      <c r="AK10" s="233">
        <f>0</f>
        <v>0</v>
      </c>
      <c r="AL10" s="234">
        <f>0</f>
        <v>0</v>
      </c>
    </row>
    <row r="11" spans="1:39" ht="23.25" customHeight="1" outlineLevel="3">
      <c r="B11" s="226" t="s">
        <v>3</v>
      </c>
      <c r="C11" s="235" t="s">
        <v>210</v>
      </c>
      <c r="D11" s="236" t="s">
        <v>211</v>
      </c>
      <c r="E11" s="229">
        <f>0</f>
        <v>0</v>
      </c>
      <c r="F11" s="230">
        <f>1159935.15</f>
        <v>1159935.1499999999</v>
      </c>
      <c r="G11" s="230">
        <f>1300000</f>
        <v>1300000</v>
      </c>
      <c r="H11" s="231">
        <f>424770.31</f>
        <v>424770.31</v>
      </c>
      <c r="I11" s="232">
        <f>900000</f>
        <v>900000</v>
      </c>
      <c r="J11" s="233">
        <f>1000000</f>
        <v>1000000</v>
      </c>
      <c r="K11" s="233">
        <f>1100000</f>
        <v>1100000</v>
      </c>
      <c r="L11" s="233">
        <f>1250000</f>
        <v>1250000</v>
      </c>
      <c r="M11" s="233">
        <f>0</f>
        <v>0</v>
      </c>
      <c r="N11" s="233">
        <f>0</f>
        <v>0</v>
      </c>
      <c r="O11" s="233">
        <f>0</f>
        <v>0</v>
      </c>
      <c r="P11" s="233">
        <f>0</f>
        <v>0</v>
      </c>
      <c r="Q11" s="233">
        <f>0</f>
        <v>0</v>
      </c>
      <c r="R11" s="233">
        <f>0</f>
        <v>0</v>
      </c>
      <c r="S11" s="233">
        <f>0</f>
        <v>0</v>
      </c>
      <c r="T11" s="233">
        <f>0</f>
        <v>0</v>
      </c>
      <c r="U11" s="233">
        <f>0</f>
        <v>0</v>
      </c>
      <c r="V11" s="233">
        <f>0</f>
        <v>0</v>
      </c>
      <c r="W11" s="233">
        <f>0</f>
        <v>0</v>
      </c>
      <c r="X11" s="233">
        <f>0</f>
        <v>0</v>
      </c>
      <c r="Y11" s="233">
        <f>0</f>
        <v>0</v>
      </c>
      <c r="Z11" s="233">
        <f>0</f>
        <v>0</v>
      </c>
      <c r="AA11" s="233">
        <f>0</f>
        <v>0</v>
      </c>
      <c r="AB11" s="233">
        <f>0</f>
        <v>0</v>
      </c>
      <c r="AC11" s="233">
        <f>0</f>
        <v>0</v>
      </c>
      <c r="AD11" s="233">
        <f>0</f>
        <v>0</v>
      </c>
      <c r="AE11" s="233">
        <f>0</f>
        <v>0</v>
      </c>
      <c r="AF11" s="233">
        <f>0</f>
        <v>0</v>
      </c>
      <c r="AG11" s="233">
        <f>0</f>
        <v>0</v>
      </c>
      <c r="AH11" s="233">
        <f>0</f>
        <v>0</v>
      </c>
      <c r="AI11" s="233">
        <f>0</f>
        <v>0</v>
      </c>
      <c r="AJ11" s="233">
        <f>0</f>
        <v>0</v>
      </c>
      <c r="AK11" s="233">
        <f>0</f>
        <v>0</v>
      </c>
      <c r="AL11" s="234">
        <f>0</f>
        <v>0</v>
      </c>
    </row>
    <row r="12" spans="1:39" outlineLevel="3">
      <c r="B12" s="226" t="s">
        <v>212</v>
      </c>
      <c r="C12" s="235" t="s">
        <v>213</v>
      </c>
      <c r="D12" s="236" t="s">
        <v>214</v>
      </c>
      <c r="E12" s="229">
        <f>0</f>
        <v>0</v>
      </c>
      <c r="F12" s="230">
        <f>6295793.91</f>
        <v>6295793.9100000001</v>
      </c>
      <c r="G12" s="230">
        <f>7187615</f>
        <v>7187615</v>
      </c>
      <c r="H12" s="231">
        <f>7032325.04</f>
        <v>7032325.04</v>
      </c>
      <c r="I12" s="232">
        <f>7920486</f>
        <v>7920486</v>
      </c>
      <c r="J12" s="233">
        <f>7952510</f>
        <v>7952510</v>
      </c>
      <c r="K12" s="233">
        <f>8191086</f>
        <v>8191086</v>
      </c>
      <c r="L12" s="233">
        <f>8518729</f>
        <v>8518729</v>
      </c>
      <c r="M12" s="233">
        <f>0</f>
        <v>0</v>
      </c>
      <c r="N12" s="233">
        <f>0</f>
        <v>0</v>
      </c>
      <c r="O12" s="233">
        <f>0</f>
        <v>0</v>
      </c>
      <c r="P12" s="233">
        <f>0</f>
        <v>0</v>
      </c>
      <c r="Q12" s="233">
        <f>0</f>
        <v>0</v>
      </c>
      <c r="R12" s="233">
        <f>0</f>
        <v>0</v>
      </c>
      <c r="S12" s="233">
        <f>0</f>
        <v>0</v>
      </c>
      <c r="T12" s="233">
        <f>0</f>
        <v>0</v>
      </c>
      <c r="U12" s="233">
        <f>0</f>
        <v>0</v>
      </c>
      <c r="V12" s="233">
        <f>0</f>
        <v>0</v>
      </c>
      <c r="W12" s="233">
        <f>0</f>
        <v>0</v>
      </c>
      <c r="X12" s="233">
        <f>0</f>
        <v>0</v>
      </c>
      <c r="Y12" s="233">
        <f>0</f>
        <v>0</v>
      </c>
      <c r="Z12" s="233">
        <f>0</f>
        <v>0</v>
      </c>
      <c r="AA12" s="233">
        <f>0</f>
        <v>0</v>
      </c>
      <c r="AB12" s="233">
        <f>0</f>
        <v>0</v>
      </c>
      <c r="AC12" s="233">
        <f>0</f>
        <v>0</v>
      </c>
      <c r="AD12" s="233">
        <f>0</f>
        <v>0</v>
      </c>
      <c r="AE12" s="233">
        <f>0</f>
        <v>0</v>
      </c>
      <c r="AF12" s="233">
        <f>0</f>
        <v>0</v>
      </c>
      <c r="AG12" s="233">
        <f>0</f>
        <v>0</v>
      </c>
      <c r="AH12" s="233">
        <f>0</f>
        <v>0</v>
      </c>
      <c r="AI12" s="233">
        <f>0</f>
        <v>0</v>
      </c>
      <c r="AJ12" s="233">
        <f>0</f>
        <v>0</v>
      </c>
      <c r="AK12" s="233">
        <f>0</f>
        <v>0</v>
      </c>
      <c r="AL12" s="234">
        <f>0</f>
        <v>0</v>
      </c>
    </row>
    <row r="13" spans="1:39" outlineLevel="4">
      <c r="B13" s="226" t="s">
        <v>215</v>
      </c>
      <c r="C13" s="235" t="s">
        <v>216</v>
      </c>
      <c r="D13" s="237" t="s">
        <v>217</v>
      </c>
      <c r="E13" s="229">
        <f>0</f>
        <v>0</v>
      </c>
      <c r="F13" s="230">
        <f>5123482.52</f>
        <v>5123482.5199999996</v>
      </c>
      <c r="G13" s="230">
        <f>5433200</f>
        <v>5433200</v>
      </c>
      <c r="H13" s="231">
        <f>5509971.13</f>
        <v>5509971.1299999999</v>
      </c>
      <c r="I13" s="232">
        <f>5980970</f>
        <v>5980970</v>
      </c>
      <c r="J13" s="233">
        <f>6069400</f>
        <v>6069400</v>
      </c>
      <c r="K13" s="233">
        <f>6372878</f>
        <v>6372878</v>
      </c>
      <c r="L13" s="233">
        <f>6691530</f>
        <v>6691530</v>
      </c>
      <c r="M13" s="233">
        <f>0</f>
        <v>0</v>
      </c>
      <c r="N13" s="233">
        <f>0</f>
        <v>0</v>
      </c>
      <c r="O13" s="233">
        <f>0</f>
        <v>0</v>
      </c>
      <c r="P13" s="233">
        <f>0</f>
        <v>0</v>
      </c>
      <c r="Q13" s="233">
        <f>0</f>
        <v>0</v>
      </c>
      <c r="R13" s="233">
        <f>0</f>
        <v>0</v>
      </c>
      <c r="S13" s="233">
        <f>0</f>
        <v>0</v>
      </c>
      <c r="T13" s="233">
        <f>0</f>
        <v>0</v>
      </c>
      <c r="U13" s="233">
        <f>0</f>
        <v>0</v>
      </c>
      <c r="V13" s="233">
        <f>0</f>
        <v>0</v>
      </c>
      <c r="W13" s="233">
        <f>0</f>
        <v>0</v>
      </c>
      <c r="X13" s="233">
        <f>0</f>
        <v>0</v>
      </c>
      <c r="Y13" s="233">
        <f>0</f>
        <v>0</v>
      </c>
      <c r="Z13" s="233">
        <f>0</f>
        <v>0</v>
      </c>
      <c r="AA13" s="233">
        <f>0</f>
        <v>0</v>
      </c>
      <c r="AB13" s="233">
        <f>0</f>
        <v>0</v>
      </c>
      <c r="AC13" s="233">
        <f>0</f>
        <v>0</v>
      </c>
      <c r="AD13" s="233">
        <f>0</f>
        <v>0</v>
      </c>
      <c r="AE13" s="233">
        <f>0</f>
        <v>0</v>
      </c>
      <c r="AF13" s="233">
        <f>0</f>
        <v>0</v>
      </c>
      <c r="AG13" s="233">
        <f>0</f>
        <v>0</v>
      </c>
      <c r="AH13" s="233">
        <f>0</f>
        <v>0</v>
      </c>
      <c r="AI13" s="233">
        <f>0</f>
        <v>0</v>
      </c>
      <c r="AJ13" s="233">
        <f>0</f>
        <v>0</v>
      </c>
      <c r="AK13" s="233">
        <f>0</f>
        <v>0</v>
      </c>
      <c r="AL13" s="234">
        <f>0</f>
        <v>0</v>
      </c>
    </row>
    <row r="14" spans="1:39" outlineLevel="3">
      <c r="B14" s="226" t="s">
        <v>218</v>
      </c>
      <c r="C14" s="235" t="s">
        <v>219</v>
      </c>
      <c r="D14" s="236" t="s">
        <v>220</v>
      </c>
      <c r="E14" s="229">
        <f>0</f>
        <v>0</v>
      </c>
      <c r="F14" s="230">
        <f>3052760</f>
        <v>3052760</v>
      </c>
      <c r="G14" s="230">
        <f>3242345</f>
        <v>3242345</v>
      </c>
      <c r="H14" s="231">
        <f>3284589</f>
        <v>3284589</v>
      </c>
      <c r="I14" s="232">
        <f>3309648</f>
        <v>3309648</v>
      </c>
      <c r="J14" s="233">
        <f>3345427</f>
        <v>3345427</v>
      </c>
      <c r="K14" s="233">
        <f>3380000</f>
        <v>3380000</v>
      </c>
      <c r="L14" s="233">
        <f>3413800</f>
        <v>3413800</v>
      </c>
      <c r="M14" s="233">
        <f>0</f>
        <v>0</v>
      </c>
      <c r="N14" s="233">
        <f>0</f>
        <v>0</v>
      </c>
      <c r="O14" s="233">
        <f>0</f>
        <v>0</v>
      </c>
      <c r="P14" s="233">
        <f>0</f>
        <v>0</v>
      </c>
      <c r="Q14" s="233">
        <f>0</f>
        <v>0</v>
      </c>
      <c r="R14" s="233">
        <f>0</f>
        <v>0</v>
      </c>
      <c r="S14" s="233">
        <f>0</f>
        <v>0</v>
      </c>
      <c r="T14" s="233">
        <f>0</f>
        <v>0</v>
      </c>
      <c r="U14" s="233">
        <f>0</f>
        <v>0</v>
      </c>
      <c r="V14" s="233">
        <f>0</f>
        <v>0</v>
      </c>
      <c r="W14" s="233">
        <f>0</f>
        <v>0</v>
      </c>
      <c r="X14" s="233">
        <f>0</f>
        <v>0</v>
      </c>
      <c r="Y14" s="233">
        <f>0</f>
        <v>0</v>
      </c>
      <c r="Z14" s="233">
        <f>0</f>
        <v>0</v>
      </c>
      <c r="AA14" s="233">
        <f>0</f>
        <v>0</v>
      </c>
      <c r="AB14" s="233">
        <f>0</f>
        <v>0</v>
      </c>
      <c r="AC14" s="233">
        <f>0</f>
        <v>0</v>
      </c>
      <c r="AD14" s="233">
        <f>0</f>
        <v>0</v>
      </c>
      <c r="AE14" s="233">
        <f>0</f>
        <v>0</v>
      </c>
      <c r="AF14" s="233">
        <f>0</f>
        <v>0</v>
      </c>
      <c r="AG14" s="233">
        <f>0</f>
        <v>0</v>
      </c>
      <c r="AH14" s="233">
        <f>0</f>
        <v>0</v>
      </c>
      <c r="AI14" s="233">
        <f>0</f>
        <v>0</v>
      </c>
      <c r="AJ14" s="233">
        <f>0</f>
        <v>0</v>
      </c>
      <c r="AK14" s="233">
        <f>0</f>
        <v>0</v>
      </c>
      <c r="AL14" s="234">
        <f>0</f>
        <v>0</v>
      </c>
    </row>
    <row r="15" spans="1:39" ht="12.75" customHeight="1" outlineLevel="3">
      <c r="B15" s="226" t="s">
        <v>221</v>
      </c>
      <c r="C15" s="235" t="s">
        <v>222</v>
      </c>
      <c r="D15" s="236" t="s">
        <v>223</v>
      </c>
      <c r="E15" s="229">
        <f>0</f>
        <v>0</v>
      </c>
      <c r="F15" s="230">
        <f>2310121.95</f>
        <v>2310121.9500000002</v>
      </c>
      <c r="G15" s="230">
        <f>2469249.15</f>
        <v>2469249.15</v>
      </c>
      <c r="H15" s="231">
        <f>2542942.62</f>
        <v>2542942.62</v>
      </c>
      <c r="I15" s="232">
        <f>1959935.27</f>
        <v>1959935.27</v>
      </c>
      <c r="J15" s="233">
        <f>2386865</f>
        <v>2386865</v>
      </c>
      <c r="K15" s="233">
        <f>2530076</f>
        <v>2530076</v>
      </c>
      <c r="L15" s="233">
        <f>2580677</f>
        <v>2580677</v>
      </c>
      <c r="M15" s="233">
        <f>0</f>
        <v>0</v>
      </c>
      <c r="N15" s="233">
        <f>0</f>
        <v>0</v>
      </c>
      <c r="O15" s="233">
        <f>0</f>
        <v>0</v>
      </c>
      <c r="P15" s="233">
        <f>0</f>
        <v>0</v>
      </c>
      <c r="Q15" s="233">
        <f>0</f>
        <v>0</v>
      </c>
      <c r="R15" s="233">
        <f>0</f>
        <v>0</v>
      </c>
      <c r="S15" s="233">
        <f>0</f>
        <v>0</v>
      </c>
      <c r="T15" s="233">
        <f>0</f>
        <v>0</v>
      </c>
      <c r="U15" s="233">
        <f>0</f>
        <v>0</v>
      </c>
      <c r="V15" s="233">
        <f>0</f>
        <v>0</v>
      </c>
      <c r="W15" s="233">
        <f>0</f>
        <v>0</v>
      </c>
      <c r="X15" s="233">
        <f>0</f>
        <v>0</v>
      </c>
      <c r="Y15" s="233">
        <f>0</f>
        <v>0</v>
      </c>
      <c r="Z15" s="233">
        <f>0</f>
        <v>0</v>
      </c>
      <c r="AA15" s="233">
        <f>0</f>
        <v>0</v>
      </c>
      <c r="AB15" s="233">
        <f>0</f>
        <v>0</v>
      </c>
      <c r="AC15" s="233">
        <f>0</f>
        <v>0</v>
      </c>
      <c r="AD15" s="233">
        <f>0</f>
        <v>0</v>
      </c>
      <c r="AE15" s="233">
        <f>0</f>
        <v>0</v>
      </c>
      <c r="AF15" s="233">
        <f>0</f>
        <v>0</v>
      </c>
      <c r="AG15" s="233">
        <f>0</f>
        <v>0</v>
      </c>
      <c r="AH15" s="233">
        <f>0</f>
        <v>0</v>
      </c>
      <c r="AI15" s="233">
        <f>0</f>
        <v>0</v>
      </c>
      <c r="AJ15" s="233">
        <f>0</f>
        <v>0</v>
      </c>
      <c r="AK15" s="233">
        <f>0</f>
        <v>0</v>
      </c>
      <c r="AL15" s="234">
        <f>0</f>
        <v>0</v>
      </c>
    </row>
    <row r="16" spans="1:39" outlineLevel="2">
      <c r="A16" s="185" t="s">
        <v>204</v>
      </c>
      <c r="B16" s="226" t="s">
        <v>4</v>
      </c>
      <c r="C16" s="235" t="s">
        <v>224</v>
      </c>
      <c r="D16" s="228" t="s">
        <v>225</v>
      </c>
      <c r="E16" s="229">
        <f>4186850.97</f>
        <v>4186850.97</v>
      </c>
      <c r="F16" s="230">
        <f>2922021.33</f>
        <v>2922021.33</v>
      </c>
      <c r="G16" s="230">
        <f>5109746</f>
        <v>5109746</v>
      </c>
      <c r="H16" s="231">
        <f>2512576.99</f>
        <v>2512576.9900000002</v>
      </c>
      <c r="I16" s="232">
        <f>3437886</f>
        <v>3437886</v>
      </c>
      <c r="J16" s="233">
        <f>1698299</f>
        <v>1698299</v>
      </c>
      <c r="K16" s="233">
        <f>1470000</f>
        <v>1470000</v>
      </c>
      <c r="L16" s="233">
        <f>1900000</f>
        <v>1900000</v>
      </c>
      <c r="M16" s="233">
        <f>1225000</f>
        <v>1225000</v>
      </c>
      <c r="N16" s="233">
        <f>1250000</f>
        <v>1250000</v>
      </c>
      <c r="O16" s="233">
        <f>960000</f>
        <v>960000</v>
      </c>
      <c r="P16" s="233">
        <f>2400000</f>
        <v>2400000</v>
      </c>
      <c r="Q16" s="233">
        <f>4100000</f>
        <v>4100000</v>
      </c>
      <c r="R16" s="233">
        <f>4600000</f>
        <v>4600000</v>
      </c>
      <c r="S16" s="233">
        <f>0</f>
        <v>0</v>
      </c>
      <c r="T16" s="233">
        <f>0</f>
        <v>0</v>
      </c>
      <c r="U16" s="233">
        <f>0</f>
        <v>0</v>
      </c>
      <c r="V16" s="233">
        <f>0</f>
        <v>0</v>
      </c>
      <c r="W16" s="233">
        <f>0</f>
        <v>0</v>
      </c>
      <c r="X16" s="233">
        <f>0</f>
        <v>0</v>
      </c>
      <c r="Y16" s="233">
        <f>0</f>
        <v>0</v>
      </c>
      <c r="Z16" s="233">
        <f>0</f>
        <v>0</v>
      </c>
      <c r="AA16" s="233">
        <f>0</f>
        <v>0</v>
      </c>
      <c r="AB16" s="233">
        <f>0</f>
        <v>0</v>
      </c>
      <c r="AC16" s="233">
        <f>0</f>
        <v>0</v>
      </c>
      <c r="AD16" s="233">
        <f>0</f>
        <v>0</v>
      </c>
      <c r="AE16" s="233">
        <f>0</f>
        <v>0</v>
      </c>
      <c r="AF16" s="233">
        <f>0</f>
        <v>0</v>
      </c>
      <c r="AG16" s="233">
        <f>0</f>
        <v>0</v>
      </c>
      <c r="AH16" s="233">
        <f>0</f>
        <v>0</v>
      </c>
      <c r="AI16" s="233">
        <f>0</f>
        <v>0</v>
      </c>
      <c r="AJ16" s="233">
        <f>0</f>
        <v>0</v>
      </c>
      <c r="AK16" s="233">
        <f>0</f>
        <v>0</v>
      </c>
      <c r="AL16" s="234">
        <f>0</f>
        <v>0</v>
      </c>
    </row>
    <row r="17" spans="1:39" outlineLevel="3">
      <c r="A17" s="185" t="s">
        <v>204</v>
      </c>
      <c r="B17" s="226" t="s">
        <v>5</v>
      </c>
      <c r="C17" s="235" t="s">
        <v>226</v>
      </c>
      <c r="D17" s="236" t="s">
        <v>227</v>
      </c>
      <c r="E17" s="229">
        <f>1625556.65</f>
        <v>1625556.65</v>
      </c>
      <c r="F17" s="230">
        <f>252913.34</f>
        <v>252913.34</v>
      </c>
      <c r="G17" s="230">
        <f>2049970</f>
        <v>2049970</v>
      </c>
      <c r="H17" s="231">
        <f>1132047.95</f>
        <v>1132047.95</v>
      </c>
      <c r="I17" s="232">
        <f>1708398</f>
        <v>1708398</v>
      </c>
      <c r="J17" s="233">
        <f>1400000</f>
        <v>1400000</v>
      </c>
      <c r="K17" s="233">
        <f>950000</f>
        <v>950000</v>
      </c>
      <c r="L17" s="233">
        <f>850000</f>
        <v>850000</v>
      </c>
      <c r="M17" s="233">
        <f>200000</f>
        <v>200000</v>
      </c>
      <c r="N17" s="233">
        <f>0</f>
        <v>0</v>
      </c>
      <c r="O17" s="233">
        <f>0</f>
        <v>0</v>
      </c>
      <c r="P17" s="233">
        <f>0</f>
        <v>0</v>
      </c>
      <c r="Q17" s="233">
        <f>0</f>
        <v>0</v>
      </c>
      <c r="R17" s="233">
        <f>0</f>
        <v>0</v>
      </c>
      <c r="S17" s="233">
        <f>0</f>
        <v>0</v>
      </c>
      <c r="T17" s="233">
        <f>0</f>
        <v>0</v>
      </c>
      <c r="U17" s="233">
        <f>0</f>
        <v>0</v>
      </c>
      <c r="V17" s="233">
        <f>0</f>
        <v>0</v>
      </c>
      <c r="W17" s="233">
        <f>0</f>
        <v>0</v>
      </c>
      <c r="X17" s="233">
        <f>0</f>
        <v>0</v>
      </c>
      <c r="Y17" s="233">
        <f>0</f>
        <v>0</v>
      </c>
      <c r="Z17" s="233">
        <f>0</f>
        <v>0</v>
      </c>
      <c r="AA17" s="233">
        <f>0</f>
        <v>0</v>
      </c>
      <c r="AB17" s="233">
        <f>0</f>
        <v>0</v>
      </c>
      <c r="AC17" s="233">
        <f>0</f>
        <v>0</v>
      </c>
      <c r="AD17" s="233">
        <f>0</f>
        <v>0</v>
      </c>
      <c r="AE17" s="233">
        <f>0</f>
        <v>0</v>
      </c>
      <c r="AF17" s="233">
        <f>0</f>
        <v>0</v>
      </c>
      <c r="AG17" s="233">
        <f>0</f>
        <v>0</v>
      </c>
      <c r="AH17" s="233">
        <f>0</f>
        <v>0</v>
      </c>
      <c r="AI17" s="233">
        <f>0</f>
        <v>0</v>
      </c>
      <c r="AJ17" s="233">
        <f>0</f>
        <v>0</v>
      </c>
      <c r="AK17" s="233">
        <f>0</f>
        <v>0</v>
      </c>
      <c r="AL17" s="234">
        <f>0</f>
        <v>0</v>
      </c>
    </row>
    <row r="18" spans="1:39" outlineLevel="3">
      <c r="B18" s="226" t="s">
        <v>6</v>
      </c>
      <c r="C18" s="235" t="s">
        <v>228</v>
      </c>
      <c r="D18" s="236" t="s">
        <v>229</v>
      </c>
      <c r="E18" s="229">
        <f>2533289.46</f>
        <v>2533289.46</v>
      </c>
      <c r="F18" s="230">
        <f>2345848.47</f>
        <v>2345848.4700000002</v>
      </c>
      <c r="G18" s="230">
        <f>1694776</f>
        <v>1694776</v>
      </c>
      <c r="H18" s="231">
        <f>1351580.04</f>
        <v>1351580.04</v>
      </c>
      <c r="I18" s="232">
        <f>1719488</f>
        <v>1719488</v>
      </c>
      <c r="J18" s="233">
        <f>100000</f>
        <v>100000</v>
      </c>
      <c r="K18" s="233">
        <f>350000</f>
        <v>350000</v>
      </c>
      <c r="L18" s="233">
        <f>875000</f>
        <v>875000</v>
      </c>
      <c r="M18" s="233">
        <f>1000000</f>
        <v>1000000</v>
      </c>
      <c r="N18" s="233">
        <f>1244500</f>
        <v>1244500</v>
      </c>
      <c r="O18" s="233">
        <f>920000</f>
        <v>920000</v>
      </c>
      <c r="P18" s="233">
        <f>2380000</f>
        <v>2380000</v>
      </c>
      <c r="Q18" s="233">
        <f>4030000</f>
        <v>4030000</v>
      </c>
      <c r="R18" s="233">
        <f>4570000</f>
        <v>4570000</v>
      </c>
      <c r="S18" s="233">
        <f>0</f>
        <v>0</v>
      </c>
      <c r="T18" s="233">
        <f>0</f>
        <v>0</v>
      </c>
      <c r="U18" s="233">
        <f>0</f>
        <v>0</v>
      </c>
      <c r="V18" s="233">
        <f>0</f>
        <v>0</v>
      </c>
      <c r="W18" s="233">
        <f>0</f>
        <v>0</v>
      </c>
      <c r="X18" s="233">
        <f>0</f>
        <v>0</v>
      </c>
      <c r="Y18" s="233">
        <f>0</f>
        <v>0</v>
      </c>
      <c r="Z18" s="233">
        <f>0</f>
        <v>0</v>
      </c>
      <c r="AA18" s="233">
        <f>0</f>
        <v>0</v>
      </c>
      <c r="AB18" s="233">
        <f>0</f>
        <v>0</v>
      </c>
      <c r="AC18" s="233">
        <f>0</f>
        <v>0</v>
      </c>
      <c r="AD18" s="233">
        <f>0</f>
        <v>0</v>
      </c>
      <c r="AE18" s="233">
        <f>0</f>
        <v>0</v>
      </c>
      <c r="AF18" s="233">
        <f>0</f>
        <v>0</v>
      </c>
      <c r="AG18" s="233">
        <f>0</f>
        <v>0</v>
      </c>
      <c r="AH18" s="233">
        <f>0</f>
        <v>0</v>
      </c>
      <c r="AI18" s="233">
        <f>0</f>
        <v>0</v>
      </c>
      <c r="AJ18" s="233">
        <f>0</f>
        <v>0</v>
      </c>
      <c r="AK18" s="233">
        <f>0</f>
        <v>0</v>
      </c>
      <c r="AL18" s="234">
        <f>0</f>
        <v>0</v>
      </c>
    </row>
    <row r="19" spans="1:39" ht="15" outlineLevel="1">
      <c r="A19" s="185" t="s">
        <v>204</v>
      </c>
      <c r="B19" s="216">
        <v>2</v>
      </c>
      <c r="C19" s="217" t="s">
        <v>230</v>
      </c>
      <c r="D19" s="218" t="s">
        <v>230</v>
      </c>
      <c r="E19" s="219">
        <f>18802683.05</f>
        <v>18802683.050000001</v>
      </c>
      <c r="F19" s="220">
        <f>24474004.48</f>
        <v>24474004.48</v>
      </c>
      <c r="G19" s="220">
        <f>23725361.15</f>
        <v>23725361.149999999</v>
      </c>
      <c r="H19" s="221">
        <f>19823836.72</f>
        <v>19823836.719999999</v>
      </c>
      <c r="I19" s="222">
        <f>20968123.27</f>
        <v>20968123.27</v>
      </c>
      <c r="J19" s="223">
        <f>19465954</f>
        <v>19465954</v>
      </c>
      <c r="K19" s="223">
        <f>20087517</f>
        <v>20087517</v>
      </c>
      <c r="L19" s="223">
        <f>21402070</f>
        <v>21402070</v>
      </c>
      <c r="M19" s="223">
        <f>21586850</f>
        <v>21586850</v>
      </c>
      <c r="N19" s="223">
        <f>22672490</f>
        <v>22672490</v>
      </c>
      <c r="O19" s="223">
        <f>23357526</f>
        <v>23357526</v>
      </c>
      <c r="P19" s="223">
        <f>26673396</f>
        <v>26673396</v>
      </c>
      <c r="Q19" s="223">
        <f>30035811</f>
        <v>30035811</v>
      </c>
      <c r="R19" s="223">
        <f>31546570</f>
        <v>31546570</v>
      </c>
      <c r="S19" s="223">
        <f>0</f>
        <v>0</v>
      </c>
      <c r="T19" s="223">
        <f>0</f>
        <v>0</v>
      </c>
      <c r="U19" s="223">
        <f>0</f>
        <v>0</v>
      </c>
      <c r="V19" s="223">
        <f>0</f>
        <v>0</v>
      </c>
      <c r="W19" s="223">
        <f>0</f>
        <v>0</v>
      </c>
      <c r="X19" s="223">
        <f>0</f>
        <v>0</v>
      </c>
      <c r="Y19" s="223">
        <f>0</f>
        <v>0</v>
      </c>
      <c r="Z19" s="223">
        <f>0</f>
        <v>0</v>
      </c>
      <c r="AA19" s="223">
        <f>0</f>
        <v>0</v>
      </c>
      <c r="AB19" s="223">
        <f>0</f>
        <v>0</v>
      </c>
      <c r="AC19" s="223">
        <f>0</f>
        <v>0</v>
      </c>
      <c r="AD19" s="223">
        <f>0</f>
        <v>0</v>
      </c>
      <c r="AE19" s="223">
        <f>0</f>
        <v>0</v>
      </c>
      <c r="AF19" s="223">
        <f>0</f>
        <v>0</v>
      </c>
      <c r="AG19" s="223">
        <f>0</f>
        <v>0</v>
      </c>
      <c r="AH19" s="223">
        <f>0</f>
        <v>0</v>
      </c>
      <c r="AI19" s="223">
        <f>0</f>
        <v>0</v>
      </c>
      <c r="AJ19" s="223">
        <f>0</f>
        <v>0</v>
      </c>
      <c r="AK19" s="223">
        <f>0</f>
        <v>0</v>
      </c>
      <c r="AL19" s="224">
        <f>0</f>
        <v>0</v>
      </c>
      <c r="AM19" s="225"/>
    </row>
    <row r="20" spans="1:39" outlineLevel="2">
      <c r="A20" s="185" t="s">
        <v>204</v>
      </c>
      <c r="B20" s="226" t="s">
        <v>231</v>
      </c>
      <c r="C20" s="227" t="s">
        <v>232</v>
      </c>
      <c r="D20" s="228" t="s">
        <v>233</v>
      </c>
      <c r="E20" s="229">
        <f>13267074.91</f>
        <v>13267074.91</v>
      </c>
      <c r="F20" s="230">
        <f>15684142.16</f>
        <v>15684142.16</v>
      </c>
      <c r="G20" s="230">
        <f>18080461.15</f>
        <v>18080461.149999999</v>
      </c>
      <c r="H20" s="231">
        <f>16022654.21</f>
        <v>16022654.210000001</v>
      </c>
      <c r="I20" s="232">
        <f>16925787.27</f>
        <v>16925787.27</v>
      </c>
      <c r="J20" s="233">
        <f>17529326</f>
        <v>17529326</v>
      </c>
      <c r="K20" s="233">
        <f>17879900</f>
        <v>17879900</v>
      </c>
      <c r="L20" s="233">
        <f>18271589</f>
        <v>18271589</v>
      </c>
      <c r="M20" s="233">
        <f>18691850</f>
        <v>18691850</v>
      </c>
      <c r="N20" s="233">
        <f>19065690</f>
        <v>19065690</v>
      </c>
      <c r="O20" s="233">
        <f>19438090</f>
        <v>19438090</v>
      </c>
      <c r="P20" s="233">
        <f>19826850</f>
        <v>19826850</v>
      </c>
      <c r="Q20" s="233">
        <f>20223387</f>
        <v>20223387</v>
      </c>
      <c r="R20" s="233">
        <f>20627900</f>
        <v>20627900</v>
      </c>
      <c r="S20" s="233">
        <f>0</f>
        <v>0</v>
      </c>
      <c r="T20" s="233">
        <f>0</f>
        <v>0</v>
      </c>
      <c r="U20" s="233">
        <f>0</f>
        <v>0</v>
      </c>
      <c r="V20" s="233">
        <f>0</f>
        <v>0</v>
      </c>
      <c r="W20" s="233">
        <f>0</f>
        <v>0</v>
      </c>
      <c r="X20" s="233">
        <f>0</f>
        <v>0</v>
      </c>
      <c r="Y20" s="233">
        <f>0</f>
        <v>0</v>
      </c>
      <c r="Z20" s="233">
        <f>0</f>
        <v>0</v>
      </c>
      <c r="AA20" s="233">
        <f>0</f>
        <v>0</v>
      </c>
      <c r="AB20" s="233">
        <f>0</f>
        <v>0</v>
      </c>
      <c r="AC20" s="233">
        <f>0</f>
        <v>0</v>
      </c>
      <c r="AD20" s="233">
        <f>0</f>
        <v>0</v>
      </c>
      <c r="AE20" s="233">
        <f>0</f>
        <v>0</v>
      </c>
      <c r="AF20" s="233">
        <f>0</f>
        <v>0</v>
      </c>
      <c r="AG20" s="233">
        <f>0</f>
        <v>0</v>
      </c>
      <c r="AH20" s="233">
        <f>0</f>
        <v>0</v>
      </c>
      <c r="AI20" s="233">
        <f>0</f>
        <v>0</v>
      </c>
      <c r="AJ20" s="233">
        <f>0</f>
        <v>0</v>
      </c>
      <c r="AK20" s="233">
        <f>0</f>
        <v>0</v>
      </c>
      <c r="AL20" s="234">
        <f>0</f>
        <v>0</v>
      </c>
    </row>
    <row r="21" spans="1:39" outlineLevel="3">
      <c r="A21" s="185" t="s">
        <v>204</v>
      </c>
      <c r="B21" s="226" t="s">
        <v>234</v>
      </c>
      <c r="C21" s="235" t="s">
        <v>235</v>
      </c>
      <c r="D21" s="236" t="s">
        <v>236</v>
      </c>
      <c r="E21" s="229">
        <f>0</f>
        <v>0</v>
      </c>
      <c r="F21" s="230">
        <f>0</f>
        <v>0</v>
      </c>
      <c r="G21" s="230">
        <f>0</f>
        <v>0</v>
      </c>
      <c r="H21" s="231">
        <f>0</f>
        <v>0</v>
      </c>
      <c r="I21" s="232">
        <f>0</f>
        <v>0</v>
      </c>
      <c r="J21" s="233">
        <f>0</f>
        <v>0</v>
      </c>
      <c r="K21" s="233">
        <f>0</f>
        <v>0</v>
      </c>
      <c r="L21" s="233">
        <f>0</f>
        <v>0</v>
      </c>
      <c r="M21" s="233">
        <f>0</f>
        <v>0</v>
      </c>
      <c r="N21" s="233">
        <f>0</f>
        <v>0</v>
      </c>
      <c r="O21" s="233">
        <f>0</f>
        <v>0</v>
      </c>
      <c r="P21" s="233">
        <f>0</f>
        <v>0</v>
      </c>
      <c r="Q21" s="233">
        <f>0</f>
        <v>0</v>
      </c>
      <c r="R21" s="233">
        <f>0</f>
        <v>0</v>
      </c>
      <c r="S21" s="233">
        <f>0</f>
        <v>0</v>
      </c>
      <c r="T21" s="233">
        <f>0</f>
        <v>0</v>
      </c>
      <c r="U21" s="233">
        <f>0</f>
        <v>0</v>
      </c>
      <c r="V21" s="233">
        <f>0</f>
        <v>0</v>
      </c>
      <c r="W21" s="233">
        <f>0</f>
        <v>0</v>
      </c>
      <c r="X21" s="233">
        <f>0</f>
        <v>0</v>
      </c>
      <c r="Y21" s="233">
        <f>0</f>
        <v>0</v>
      </c>
      <c r="Z21" s="233">
        <f>0</f>
        <v>0</v>
      </c>
      <c r="AA21" s="233">
        <f>0</f>
        <v>0</v>
      </c>
      <c r="AB21" s="233">
        <f>0</f>
        <v>0</v>
      </c>
      <c r="AC21" s="233">
        <f>0</f>
        <v>0</v>
      </c>
      <c r="AD21" s="233">
        <f>0</f>
        <v>0</v>
      </c>
      <c r="AE21" s="233">
        <f>0</f>
        <v>0</v>
      </c>
      <c r="AF21" s="233">
        <f>0</f>
        <v>0</v>
      </c>
      <c r="AG21" s="233">
        <f>0</f>
        <v>0</v>
      </c>
      <c r="AH21" s="233">
        <f>0</f>
        <v>0</v>
      </c>
      <c r="AI21" s="233">
        <f>0</f>
        <v>0</v>
      </c>
      <c r="AJ21" s="233">
        <f>0</f>
        <v>0</v>
      </c>
      <c r="AK21" s="233">
        <f>0</f>
        <v>0</v>
      </c>
      <c r="AL21" s="234">
        <f>0</f>
        <v>0</v>
      </c>
    </row>
    <row r="22" spans="1:39" ht="25.5" customHeight="1" outlineLevel="4">
      <c r="A22" s="185" t="s">
        <v>204</v>
      </c>
      <c r="B22" s="226" t="s">
        <v>237</v>
      </c>
      <c r="C22" s="235" t="s">
        <v>238</v>
      </c>
      <c r="D22" s="237" t="s">
        <v>239</v>
      </c>
      <c r="E22" s="229">
        <f>0</f>
        <v>0</v>
      </c>
      <c r="F22" s="230">
        <f>0</f>
        <v>0</v>
      </c>
      <c r="G22" s="230">
        <f>0</f>
        <v>0</v>
      </c>
      <c r="H22" s="231">
        <f>0</f>
        <v>0</v>
      </c>
      <c r="I22" s="232">
        <f>0</f>
        <v>0</v>
      </c>
      <c r="J22" s="233">
        <f>0</f>
        <v>0</v>
      </c>
      <c r="K22" s="233">
        <f>0</f>
        <v>0</v>
      </c>
      <c r="L22" s="233">
        <f>0</f>
        <v>0</v>
      </c>
      <c r="M22" s="233">
        <f>0</f>
        <v>0</v>
      </c>
      <c r="N22" s="233">
        <f>0</f>
        <v>0</v>
      </c>
      <c r="O22" s="233">
        <f>0</f>
        <v>0</v>
      </c>
      <c r="P22" s="233">
        <f>0</f>
        <v>0</v>
      </c>
      <c r="Q22" s="233">
        <f>0</f>
        <v>0</v>
      </c>
      <c r="R22" s="233">
        <f>0</f>
        <v>0</v>
      </c>
      <c r="S22" s="233">
        <f>0</f>
        <v>0</v>
      </c>
      <c r="T22" s="233">
        <f>0</f>
        <v>0</v>
      </c>
      <c r="U22" s="233">
        <f>0</f>
        <v>0</v>
      </c>
      <c r="V22" s="233">
        <f>0</f>
        <v>0</v>
      </c>
      <c r="W22" s="233">
        <f>0</f>
        <v>0</v>
      </c>
      <c r="X22" s="233">
        <f>0</f>
        <v>0</v>
      </c>
      <c r="Y22" s="233">
        <f>0</f>
        <v>0</v>
      </c>
      <c r="Z22" s="233">
        <f>0</f>
        <v>0</v>
      </c>
      <c r="AA22" s="233">
        <f>0</f>
        <v>0</v>
      </c>
      <c r="AB22" s="233">
        <f>0</f>
        <v>0</v>
      </c>
      <c r="AC22" s="233">
        <f>0</f>
        <v>0</v>
      </c>
      <c r="AD22" s="233">
        <f>0</f>
        <v>0</v>
      </c>
      <c r="AE22" s="233">
        <f>0</f>
        <v>0</v>
      </c>
      <c r="AF22" s="233">
        <f>0</f>
        <v>0</v>
      </c>
      <c r="AG22" s="233">
        <f>0</f>
        <v>0</v>
      </c>
      <c r="AH22" s="233">
        <f>0</f>
        <v>0</v>
      </c>
      <c r="AI22" s="233">
        <f>0</f>
        <v>0</v>
      </c>
      <c r="AJ22" s="233">
        <f>0</f>
        <v>0</v>
      </c>
      <c r="AK22" s="233">
        <f>0</f>
        <v>0</v>
      </c>
      <c r="AL22" s="234">
        <f>0</f>
        <v>0</v>
      </c>
    </row>
    <row r="23" spans="1:39" ht="59.25" customHeight="1" outlineLevel="3">
      <c r="B23" s="226" t="s">
        <v>240</v>
      </c>
      <c r="C23" s="235" t="s">
        <v>241</v>
      </c>
      <c r="D23" s="236" t="s">
        <v>242</v>
      </c>
      <c r="E23" s="229">
        <f>0</f>
        <v>0</v>
      </c>
      <c r="F23" s="230">
        <f>0</f>
        <v>0</v>
      </c>
      <c r="G23" s="230">
        <f>0</f>
        <v>0</v>
      </c>
      <c r="H23" s="231">
        <f>0</f>
        <v>0</v>
      </c>
      <c r="I23" s="232">
        <f>0</f>
        <v>0</v>
      </c>
      <c r="J23" s="233">
        <f>0</f>
        <v>0</v>
      </c>
      <c r="K23" s="233">
        <f>0</f>
        <v>0</v>
      </c>
      <c r="L23" s="233">
        <f>0</f>
        <v>0</v>
      </c>
      <c r="M23" s="233">
        <f>0</f>
        <v>0</v>
      </c>
      <c r="N23" s="233">
        <f>0</f>
        <v>0</v>
      </c>
      <c r="O23" s="233">
        <f>0</f>
        <v>0</v>
      </c>
      <c r="P23" s="233">
        <f>0</f>
        <v>0</v>
      </c>
      <c r="Q23" s="233">
        <f>0</f>
        <v>0</v>
      </c>
      <c r="R23" s="233">
        <f>0</f>
        <v>0</v>
      </c>
      <c r="S23" s="233">
        <f>0</f>
        <v>0</v>
      </c>
      <c r="T23" s="233">
        <f>0</f>
        <v>0</v>
      </c>
      <c r="U23" s="233">
        <f>0</f>
        <v>0</v>
      </c>
      <c r="V23" s="233">
        <f>0</f>
        <v>0</v>
      </c>
      <c r="W23" s="233">
        <f>0</f>
        <v>0</v>
      </c>
      <c r="X23" s="233">
        <f>0</f>
        <v>0</v>
      </c>
      <c r="Y23" s="233">
        <f>0</f>
        <v>0</v>
      </c>
      <c r="Z23" s="233">
        <f>0</f>
        <v>0</v>
      </c>
      <c r="AA23" s="233">
        <f>0</f>
        <v>0</v>
      </c>
      <c r="AB23" s="233">
        <f>0</f>
        <v>0</v>
      </c>
      <c r="AC23" s="233">
        <f>0</f>
        <v>0</v>
      </c>
      <c r="AD23" s="233">
        <f>0</f>
        <v>0</v>
      </c>
      <c r="AE23" s="233">
        <f>0</f>
        <v>0</v>
      </c>
      <c r="AF23" s="233">
        <f>0</f>
        <v>0</v>
      </c>
      <c r="AG23" s="233">
        <f>0</f>
        <v>0</v>
      </c>
      <c r="AH23" s="233">
        <f>0</f>
        <v>0</v>
      </c>
      <c r="AI23" s="233">
        <f>0</f>
        <v>0</v>
      </c>
      <c r="AJ23" s="233">
        <f>0</f>
        <v>0</v>
      </c>
      <c r="AK23" s="233">
        <f>0</f>
        <v>0</v>
      </c>
      <c r="AL23" s="234">
        <f>0</f>
        <v>0</v>
      </c>
    </row>
    <row r="24" spans="1:39" outlineLevel="3">
      <c r="A24" s="185" t="s">
        <v>204</v>
      </c>
      <c r="B24" s="226" t="s">
        <v>243</v>
      </c>
      <c r="C24" s="235" t="s">
        <v>244</v>
      </c>
      <c r="D24" s="236" t="s">
        <v>245</v>
      </c>
      <c r="E24" s="229">
        <f>706724.34</f>
        <v>706724.34</v>
      </c>
      <c r="F24" s="230">
        <f>1118360.5</f>
        <v>1118360.5</v>
      </c>
      <c r="G24" s="230">
        <f>1100000</f>
        <v>1100000</v>
      </c>
      <c r="H24" s="231">
        <f>907630.37</f>
        <v>907630.37</v>
      </c>
      <c r="I24" s="232">
        <f>885000</f>
        <v>885000</v>
      </c>
      <c r="J24" s="233">
        <f>746300</f>
        <v>746300</v>
      </c>
      <c r="K24" s="233">
        <f>637633</f>
        <v>637633</v>
      </c>
      <c r="L24" s="233">
        <f>535528</f>
        <v>535528</v>
      </c>
      <c r="M24" s="233">
        <f>403670</f>
        <v>403670</v>
      </c>
      <c r="N24" s="233">
        <f>279607</f>
        <v>279607</v>
      </c>
      <c r="O24" s="233">
        <f>167243</f>
        <v>167243</v>
      </c>
      <c r="P24" s="233">
        <f>60317</f>
        <v>60317</v>
      </c>
      <c r="Q24" s="233">
        <f>13280</f>
        <v>13280</v>
      </c>
      <c r="R24" s="233">
        <f>6660</f>
        <v>6660</v>
      </c>
      <c r="S24" s="233">
        <f>0</f>
        <v>0</v>
      </c>
      <c r="T24" s="233">
        <f>0</f>
        <v>0</v>
      </c>
      <c r="U24" s="233">
        <f>0</f>
        <v>0</v>
      </c>
      <c r="V24" s="233">
        <f>0</f>
        <v>0</v>
      </c>
      <c r="W24" s="233">
        <f>0</f>
        <v>0</v>
      </c>
      <c r="X24" s="233">
        <f>0</f>
        <v>0</v>
      </c>
      <c r="Y24" s="233">
        <f>0</f>
        <v>0</v>
      </c>
      <c r="Z24" s="233">
        <f>0</f>
        <v>0</v>
      </c>
      <c r="AA24" s="233">
        <f>0</f>
        <v>0</v>
      </c>
      <c r="AB24" s="233">
        <f>0</f>
        <v>0</v>
      </c>
      <c r="AC24" s="233">
        <f>0</f>
        <v>0</v>
      </c>
      <c r="AD24" s="233">
        <f>0</f>
        <v>0</v>
      </c>
      <c r="AE24" s="233">
        <f>0</f>
        <v>0</v>
      </c>
      <c r="AF24" s="233">
        <f>0</f>
        <v>0</v>
      </c>
      <c r="AG24" s="233">
        <f>0</f>
        <v>0</v>
      </c>
      <c r="AH24" s="233">
        <f>0</f>
        <v>0</v>
      </c>
      <c r="AI24" s="233">
        <f>0</f>
        <v>0</v>
      </c>
      <c r="AJ24" s="233">
        <f>0</f>
        <v>0</v>
      </c>
      <c r="AK24" s="233">
        <f>0</f>
        <v>0</v>
      </c>
      <c r="AL24" s="234">
        <f>0</f>
        <v>0</v>
      </c>
    </row>
    <row r="25" spans="1:39" ht="24" outlineLevel="4">
      <c r="A25" s="185" t="s">
        <v>204</v>
      </c>
      <c r="B25" s="226" t="s">
        <v>246</v>
      </c>
      <c r="C25" s="235" t="s">
        <v>247</v>
      </c>
      <c r="D25" s="237" t="s">
        <v>248</v>
      </c>
      <c r="E25" s="229">
        <f>706724.34</f>
        <v>706724.34</v>
      </c>
      <c r="F25" s="230">
        <f>1118360.5</f>
        <v>1118360.5</v>
      </c>
      <c r="G25" s="230">
        <f>1100000</f>
        <v>1100000</v>
      </c>
      <c r="H25" s="231">
        <f>907630.37</f>
        <v>907630.37</v>
      </c>
      <c r="I25" s="232">
        <f>885000</f>
        <v>885000</v>
      </c>
      <c r="J25" s="233">
        <f>746300</f>
        <v>746300</v>
      </c>
      <c r="K25" s="233">
        <f>637633</f>
        <v>637633</v>
      </c>
      <c r="L25" s="233">
        <f>535528</f>
        <v>535528</v>
      </c>
      <c r="M25" s="233">
        <f>403670</f>
        <v>403670</v>
      </c>
      <c r="N25" s="233">
        <f>279607</f>
        <v>279607</v>
      </c>
      <c r="O25" s="233">
        <f>167243</f>
        <v>167243</v>
      </c>
      <c r="P25" s="233">
        <f>60317</f>
        <v>60317</v>
      </c>
      <c r="Q25" s="233">
        <f>13280</f>
        <v>13280</v>
      </c>
      <c r="R25" s="233">
        <f>6660</f>
        <v>6660</v>
      </c>
      <c r="S25" s="233">
        <f>0</f>
        <v>0</v>
      </c>
      <c r="T25" s="233">
        <f>0</f>
        <v>0</v>
      </c>
      <c r="U25" s="233">
        <f>0</f>
        <v>0</v>
      </c>
      <c r="V25" s="233">
        <f>0</f>
        <v>0</v>
      </c>
      <c r="W25" s="233">
        <f>0</f>
        <v>0</v>
      </c>
      <c r="X25" s="233">
        <f>0</f>
        <v>0</v>
      </c>
      <c r="Y25" s="233">
        <f>0</f>
        <v>0</v>
      </c>
      <c r="Z25" s="233">
        <f>0</f>
        <v>0</v>
      </c>
      <c r="AA25" s="233">
        <f>0</f>
        <v>0</v>
      </c>
      <c r="AB25" s="233">
        <f>0</f>
        <v>0</v>
      </c>
      <c r="AC25" s="233">
        <f>0</f>
        <v>0</v>
      </c>
      <c r="AD25" s="233">
        <f>0</f>
        <v>0</v>
      </c>
      <c r="AE25" s="233">
        <f>0</f>
        <v>0</v>
      </c>
      <c r="AF25" s="233">
        <f>0</f>
        <v>0</v>
      </c>
      <c r="AG25" s="233">
        <f>0</f>
        <v>0</v>
      </c>
      <c r="AH25" s="233">
        <f>0</f>
        <v>0</v>
      </c>
      <c r="AI25" s="233">
        <f>0</f>
        <v>0</v>
      </c>
      <c r="AJ25" s="233">
        <f>0</f>
        <v>0</v>
      </c>
      <c r="AK25" s="233">
        <f>0</f>
        <v>0</v>
      </c>
      <c r="AL25" s="234">
        <f>0</f>
        <v>0</v>
      </c>
    </row>
    <row r="26" spans="1:39" ht="63" customHeight="1" outlineLevel="5">
      <c r="A26" s="185" t="s">
        <v>204</v>
      </c>
      <c r="B26" s="226" t="s">
        <v>249</v>
      </c>
      <c r="C26" s="235" t="s">
        <v>250</v>
      </c>
      <c r="D26" s="238" t="s">
        <v>251</v>
      </c>
      <c r="E26" s="229">
        <f>0</f>
        <v>0</v>
      </c>
      <c r="F26" s="230">
        <f>0</f>
        <v>0</v>
      </c>
      <c r="G26" s="230">
        <f>0</f>
        <v>0</v>
      </c>
      <c r="H26" s="231">
        <f>0</f>
        <v>0</v>
      </c>
      <c r="I26" s="232">
        <v>376613.12</v>
      </c>
      <c r="J26" s="233">
        <f>0</f>
        <v>0</v>
      </c>
      <c r="K26" s="233">
        <f>0</f>
        <v>0</v>
      </c>
      <c r="L26" s="233">
        <f>0</f>
        <v>0</v>
      </c>
      <c r="M26" s="233">
        <v>0</v>
      </c>
      <c r="N26" s="233">
        <f>0</f>
        <v>0</v>
      </c>
      <c r="O26" s="233">
        <f>0</f>
        <v>0</v>
      </c>
      <c r="P26" s="233">
        <f>0</f>
        <v>0</v>
      </c>
      <c r="Q26" s="233">
        <f>0</f>
        <v>0</v>
      </c>
      <c r="R26" s="233">
        <f>0</f>
        <v>0</v>
      </c>
      <c r="S26" s="233">
        <f>0</f>
        <v>0</v>
      </c>
      <c r="T26" s="233">
        <f>0</f>
        <v>0</v>
      </c>
      <c r="U26" s="233">
        <f>0</f>
        <v>0</v>
      </c>
      <c r="V26" s="233">
        <f>0</f>
        <v>0</v>
      </c>
      <c r="W26" s="233">
        <f>0</f>
        <v>0</v>
      </c>
      <c r="X26" s="233">
        <f>0</f>
        <v>0</v>
      </c>
      <c r="Y26" s="233">
        <f>0</f>
        <v>0</v>
      </c>
      <c r="Z26" s="233">
        <f>0</f>
        <v>0</v>
      </c>
      <c r="AA26" s="233">
        <f>0</f>
        <v>0</v>
      </c>
      <c r="AB26" s="233">
        <f>0</f>
        <v>0</v>
      </c>
      <c r="AC26" s="233">
        <f>0</f>
        <v>0</v>
      </c>
      <c r="AD26" s="233">
        <f>0</f>
        <v>0</v>
      </c>
      <c r="AE26" s="233">
        <f>0</f>
        <v>0</v>
      </c>
      <c r="AF26" s="233">
        <f>0</f>
        <v>0</v>
      </c>
      <c r="AG26" s="233">
        <f>0</f>
        <v>0</v>
      </c>
      <c r="AH26" s="233">
        <f>0</f>
        <v>0</v>
      </c>
      <c r="AI26" s="233">
        <f>0</f>
        <v>0</v>
      </c>
      <c r="AJ26" s="233">
        <f>0</f>
        <v>0</v>
      </c>
      <c r="AK26" s="233">
        <f>0</f>
        <v>0</v>
      </c>
      <c r="AL26" s="234">
        <f>0</f>
        <v>0</v>
      </c>
    </row>
    <row r="27" spans="1:39" ht="42.75" customHeight="1" outlineLevel="5">
      <c r="A27" s="185" t="s">
        <v>204</v>
      </c>
      <c r="B27" s="226" t="s">
        <v>252</v>
      </c>
      <c r="C27" s="235" t="s">
        <v>253</v>
      </c>
      <c r="D27" s="238" t="s">
        <v>254</v>
      </c>
      <c r="E27" s="229">
        <f>0</f>
        <v>0</v>
      </c>
      <c r="F27" s="230">
        <f>0</f>
        <v>0</v>
      </c>
      <c r="G27" s="230">
        <f>0</f>
        <v>0</v>
      </c>
      <c r="H27" s="231">
        <f>0</f>
        <v>0</v>
      </c>
      <c r="I27" s="232">
        <f>0</f>
        <v>0</v>
      </c>
      <c r="J27" s="233">
        <f>0</f>
        <v>0</v>
      </c>
      <c r="K27" s="233">
        <f>0</f>
        <v>0</v>
      </c>
      <c r="L27" s="233">
        <f>0</f>
        <v>0</v>
      </c>
      <c r="M27" s="233">
        <f>0</f>
        <v>0</v>
      </c>
      <c r="N27" s="233">
        <f>0</f>
        <v>0</v>
      </c>
      <c r="O27" s="233">
        <f>0</f>
        <v>0</v>
      </c>
      <c r="P27" s="233">
        <f>0</f>
        <v>0</v>
      </c>
      <c r="Q27" s="233">
        <f>0</f>
        <v>0</v>
      </c>
      <c r="R27" s="233">
        <f>0</f>
        <v>0</v>
      </c>
      <c r="S27" s="233">
        <f>0</f>
        <v>0</v>
      </c>
      <c r="T27" s="233">
        <f>0</f>
        <v>0</v>
      </c>
      <c r="U27" s="233">
        <f>0</f>
        <v>0</v>
      </c>
      <c r="V27" s="233">
        <f>0</f>
        <v>0</v>
      </c>
      <c r="W27" s="233">
        <f>0</f>
        <v>0</v>
      </c>
      <c r="X27" s="233">
        <f>0</f>
        <v>0</v>
      </c>
      <c r="Y27" s="233">
        <f>0</f>
        <v>0</v>
      </c>
      <c r="Z27" s="233">
        <f>0</f>
        <v>0</v>
      </c>
      <c r="AA27" s="233">
        <f>0</f>
        <v>0</v>
      </c>
      <c r="AB27" s="233">
        <f>0</f>
        <v>0</v>
      </c>
      <c r="AC27" s="233">
        <f>0</f>
        <v>0</v>
      </c>
      <c r="AD27" s="233">
        <f>0</f>
        <v>0</v>
      </c>
      <c r="AE27" s="233">
        <f>0</f>
        <v>0</v>
      </c>
      <c r="AF27" s="233">
        <f>0</f>
        <v>0</v>
      </c>
      <c r="AG27" s="233">
        <f>0</f>
        <v>0</v>
      </c>
      <c r="AH27" s="233">
        <f>0</f>
        <v>0</v>
      </c>
      <c r="AI27" s="233">
        <f>0</f>
        <v>0</v>
      </c>
      <c r="AJ27" s="233">
        <f>0</f>
        <v>0</v>
      </c>
      <c r="AK27" s="233">
        <f>0</f>
        <v>0</v>
      </c>
      <c r="AL27" s="234">
        <f>0</f>
        <v>0</v>
      </c>
    </row>
    <row r="28" spans="1:39" outlineLevel="2">
      <c r="A28" s="185" t="s">
        <v>204</v>
      </c>
      <c r="B28" s="226" t="s">
        <v>255</v>
      </c>
      <c r="C28" s="235" t="s">
        <v>256</v>
      </c>
      <c r="D28" s="228" t="s">
        <v>257</v>
      </c>
      <c r="E28" s="229">
        <f>5535608.14</f>
        <v>5535608.1399999997</v>
      </c>
      <c r="F28" s="230">
        <f>8789862.32</f>
        <v>8789862.3200000003</v>
      </c>
      <c r="G28" s="230">
        <f>5644900</f>
        <v>5644900</v>
      </c>
      <c r="H28" s="231">
        <f>3801182.51</f>
        <v>3801182.51</v>
      </c>
      <c r="I28" s="232">
        <f>4042336</f>
        <v>4042336</v>
      </c>
      <c r="J28" s="233">
        <f>1936628</f>
        <v>1936628</v>
      </c>
      <c r="K28" s="233">
        <f>2207617</f>
        <v>2207617</v>
      </c>
      <c r="L28" s="233">
        <f>3130481</f>
        <v>3130481</v>
      </c>
      <c r="M28" s="233">
        <f>2895000</f>
        <v>2895000</v>
      </c>
      <c r="N28" s="233">
        <f>3606800</f>
        <v>3606800</v>
      </c>
      <c r="O28" s="233">
        <f>3919436</f>
        <v>3919436</v>
      </c>
      <c r="P28" s="233">
        <f>6846546</f>
        <v>6846546</v>
      </c>
      <c r="Q28" s="233">
        <f>9812424</f>
        <v>9812424</v>
      </c>
      <c r="R28" s="233">
        <f>10918670</f>
        <v>10918670</v>
      </c>
      <c r="S28" s="233">
        <f>0</f>
        <v>0</v>
      </c>
      <c r="T28" s="233">
        <f>0</f>
        <v>0</v>
      </c>
      <c r="U28" s="233">
        <f>0</f>
        <v>0</v>
      </c>
      <c r="V28" s="233">
        <f>0</f>
        <v>0</v>
      </c>
      <c r="W28" s="233">
        <f>0</f>
        <v>0</v>
      </c>
      <c r="X28" s="233">
        <f>0</f>
        <v>0</v>
      </c>
      <c r="Y28" s="233">
        <f>0</f>
        <v>0</v>
      </c>
      <c r="Z28" s="233">
        <f>0</f>
        <v>0</v>
      </c>
      <c r="AA28" s="233">
        <f>0</f>
        <v>0</v>
      </c>
      <c r="AB28" s="233">
        <f>0</f>
        <v>0</v>
      </c>
      <c r="AC28" s="233">
        <f>0</f>
        <v>0</v>
      </c>
      <c r="AD28" s="233">
        <f>0</f>
        <v>0</v>
      </c>
      <c r="AE28" s="233">
        <f>0</f>
        <v>0</v>
      </c>
      <c r="AF28" s="233">
        <f>0</f>
        <v>0</v>
      </c>
      <c r="AG28" s="233">
        <f>0</f>
        <v>0</v>
      </c>
      <c r="AH28" s="233">
        <f>0</f>
        <v>0</v>
      </c>
      <c r="AI28" s="233">
        <f>0</f>
        <v>0</v>
      </c>
      <c r="AJ28" s="233">
        <f>0</f>
        <v>0</v>
      </c>
      <c r="AK28" s="233">
        <f>0</f>
        <v>0</v>
      </c>
      <c r="AL28" s="234">
        <f>0</f>
        <v>0</v>
      </c>
    </row>
    <row r="29" spans="1:39" ht="15" outlineLevel="1">
      <c r="A29" s="185" t="s">
        <v>204</v>
      </c>
      <c r="B29" s="216">
        <v>3</v>
      </c>
      <c r="C29" s="217" t="s">
        <v>258</v>
      </c>
      <c r="D29" s="218" t="s">
        <v>258</v>
      </c>
      <c r="E29" s="219">
        <f>-67953.5</f>
        <v>-67953.5</v>
      </c>
      <c r="F29" s="220">
        <f>-4228860.85</f>
        <v>-4228860.8499999996</v>
      </c>
      <c r="G29" s="220">
        <f>413661</f>
        <v>413661</v>
      </c>
      <c r="H29" s="221">
        <f>361034.95</f>
        <v>361034.95</v>
      </c>
      <c r="I29" s="222">
        <f>1864521</f>
        <v>1864521</v>
      </c>
      <c r="J29" s="223">
        <f>1953410</f>
        <v>1953410</v>
      </c>
      <c r="K29" s="223">
        <f>1953410</f>
        <v>1953410</v>
      </c>
      <c r="L29" s="223">
        <f>1953410</f>
        <v>1953410</v>
      </c>
      <c r="M29" s="223">
        <f>1953410</f>
        <v>1953410</v>
      </c>
      <c r="N29" s="223">
        <f>1953410</f>
        <v>1953410</v>
      </c>
      <c r="O29" s="223">
        <f>1913410</f>
        <v>1913410</v>
      </c>
      <c r="P29" s="223">
        <f>1010016</f>
        <v>1010016</v>
      </c>
      <c r="Q29" s="223">
        <f>358852</f>
        <v>358852</v>
      </c>
      <c r="R29" s="223">
        <f>358933.42</f>
        <v>358933.42</v>
      </c>
      <c r="S29" s="223">
        <f>0</f>
        <v>0</v>
      </c>
      <c r="T29" s="223">
        <f>0</f>
        <v>0</v>
      </c>
      <c r="U29" s="223">
        <f>0</f>
        <v>0</v>
      </c>
      <c r="V29" s="223">
        <f>0</f>
        <v>0</v>
      </c>
      <c r="W29" s="223">
        <f>0</f>
        <v>0</v>
      </c>
      <c r="X29" s="223">
        <f>0</f>
        <v>0</v>
      </c>
      <c r="Y29" s="223">
        <f>0</f>
        <v>0</v>
      </c>
      <c r="Z29" s="223">
        <f>0</f>
        <v>0</v>
      </c>
      <c r="AA29" s="223">
        <f>0</f>
        <v>0</v>
      </c>
      <c r="AB29" s="223">
        <f>0</f>
        <v>0</v>
      </c>
      <c r="AC29" s="223">
        <f>0</f>
        <v>0</v>
      </c>
      <c r="AD29" s="223">
        <f>0</f>
        <v>0</v>
      </c>
      <c r="AE29" s="223">
        <f>0</f>
        <v>0</v>
      </c>
      <c r="AF29" s="223">
        <f>0</f>
        <v>0</v>
      </c>
      <c r="AG29" s="223">
        <f>0</f>
        <v>0</v>
      </c>
      <c r="AH29" s="223">
        <f>0</f>
        <v>0</v>
      </c>
      <c r="AI29" s="223">
        <f>0</f>
        <v>0</v>
      </c>
      <c r="AJ29" s="223">
        <f>0</f>
        <v>0</v>
      </c>
      <c r="AK29" s="223">
        <f>0</f>
        <v>0</v>
      </c>
      <c r="AL29" s="224">
        <f>0</f>
        <v>0</v>
      </c>
      <c r="AM29" s="225"/>
    </row>
    <row r="30" spans="1:39" ht="15" outlineLevel="1">
      <c r="A30" s="185" t="s">
        <v>204</v>
      </c>
      <c r="B30" s="216">
        <v>4</v>
      </c>
      <c r="C30" s="217" t="s">
        <v>259</v>
      </c>
      <c r="D30" s="218" t="s">
        <v>259</v>
      </c>
      <c r="E30" s="219">
        <f>2895310.99</f>
        <v>2895310.99</v>
      </c>
      <c r="F30" s="220">
        <f>6398294.58</f>
        <v>6398294.5800000001</v>
      </c>
      <c r="G30" s="220">
        <f>1180860</f>
        <v>1180860</v>
      </c>
      <c r="H30" s="221">
        <f>1180848.92</f>
        <v>1180848.92</v>
      </c>
      <c r="I30" s="222">
        <f>0</f>
        <v>0</v>
      </c>
      <c r="J30" s="223">
        <f>0</f>
        <v>0</v>
      </c>
      <c r="K30" s="223">
        <f>0</f>
        <v>0</v>
      </c>
      <c r="L30" s="223">
        <f>0</f>
        <v>0</v>
      </c>
      <c r="M30" s="223">
        <f>0</f>
        <v>0</v>
      </c>
      <c r="N30" s="223">
        <f>0</f>
        <v>0</v>
      </c>
      <c r="O30" s="223">
        <f>0</f>
        <v>0</v>
      </c>
      <c r="P30" s="223">
        <f>0</f>
        <v>0</v>
      </c>
      <c r="Q30" s="223">
        <f>0</f>
        <v>0</v>
      </c>
      <c r="R30" s="223">
        <f>0</f>
        <v>0</v>
      </c>
      <c r="S30" s="223">
        <f>0</f>
        <v>0</v>
      </c>
      <c r="T30" s="223">
        <f>0</f>
        <v>0</v>
      </c>
      <c r="U30" s="223">
        <f>0</f>
        <v>0</v>
      </c>
      <c r="V30" s="223">
        <f>0</f>
        <v>0</v>
      </c>
      <c r="W30" s="223">
        <f>0</f>
        <v>0</v>
      </c>
      <c r="X30" s="223">
        <f>0</f>
        <v>0</v>
      </c>
      <c r="Y30" s="223">
        <f>0</f>
        <v>0</v>
      </c>
      <c r="Z30" s="223">
        <f>0</f>
        <v>0</v>
      </c>
      <c r="AA30" s="223">
        <f>0</f>
        <v>0</v>
      </c>
      <c r="AB30" s="223">
        <f>0</f>
        <v>0</v>
      </c>
      <c r="AC30" s="223">
        <f>0</f>
        <v>0</v>
      </c>
      <c r="AD30" s="223">
        <f>0</f>
        <v>0</v>
      </c>
      <c r="AE30" s="223">
        <f>0</f>
        <v>0</v>
      </c>
      <c r="AF30" s="223">
        <f>0</f>
        <v>0</v>
      </c>
      <c r="AG30" s="223">
        <f>0</f>
        <v>0</v>
      </c>
      <c r="AH30" s="223">
        <f>0</f>
        <v>0</v>
      </c>
      <c r="AI30" s="223">
        <f>0</f>
        <v>0</v>
      </c>
      <c r="AJ30" s="223">
        <f>0</f>
        <v>0</v>
      </c>
      <c r="AK30" s="223">
        <f>0</f>
        <v>0</v>
      </c>
      <c r="AL30" s="224">
        <f>0</f>
        <v>0</v>
      </c>
      <c r="AM30" s="225"/>
    </row>
    <row r="31" spans="1:39" outlineLevel="2">
      <c r="A31" s="185" t="s">
        <v>204</v>
      </c>
      <c r="B31" s="226" t="s">
        <v>260</v>
      </c>
      <c r="C31" s="235" t="s">
        <v>261</v>
      </c>
      <c r="D31" s="228" t="s">
        <v>262</v>
      </c>
      <c r="E31" s="229">
        <f>0</f>
        <v>0</v>
      </c>
      <c r="F31" s="230">
        <f>0</f>
        <v>0</v>
      </c>
      <c r="G31" s="230">
        <f>0</f>
        <v>0</v>
      </c>
      <c r="H31" s="231">
        <f>0</f>
        <v>0</v>
      </c>
      <c r="I31" s="232">
        <f>0</f>
        <v>0</v>
      </c>
      <c r="J31" s="233">
        <f>0</f>
        <v>0</v>
      </c>
      <c r="K31" s="233">
        <f>0</f>
        <v>0</v>
      </c>
      <c r="L31" s="233">
        <f>0</f>
        <v>0</v>
      </c>
      <c r="M31" s="233">
        <f>0</f>
        <v>0</v>
      </c>
      <c r="N31" s="233">
        <f>0</f>
        <v>0</v>
      </c>
      <c r="O31" s="233">
        <f>0</f>
        <v>0</v>
      </c>
      <c r="P31" s="233">
        <f>0</f>
        <v>0</v>
      </c>
      <c r="Q31" s="233">
        <f>0</f>
        <v>0</v>
      </c>
      <c r="R31" s="233">
        <f>0</f>
        <v>0</v>
      </c>
      <c r="S31" s="233">
        <f>0</f>
        <v>0</v>
      </c>
      <c r="T31" s="233">
        <f>0</f>
        <v>0</v>
      </c>
      <c r="U31" s="233">
        <f>0</f>
        <v>0</v>
      </c>
      <c r="V31" s="233">
        <f>0</f>
        <v>0</v>
      </c>
      <c r="W31" s="233">
        <f>0</f>
        <v>0</v>
      </c>
      <c r="X31" s="233">
        <f>0</f>
        <v>0</v>
      </c>
      <c r="Y31" s="233">
        <f>0</f>
        <v>0</v>
      </c>
      <c r="Z31" s="233">
        <f>0</f>
        <v>0</v>
      </c>
      <c r="AA31" s="233">
        <f>0</f>
        <v>0</v>
      </c>
      <c r="AB31" s="233">
        <f>0</f>
        <v>0</v>
      </c>
      <c r="AC31" s="233">
        <f>0</f>
        <v>0</v>
      </c>
      <c r="AD31" s="233">
        <f>0</f>
        <v>0</v>
      </c>
      <c r="AE31" s="233">
        <f>0</f>
        <v>0</v>
      </c>
      <c r="AF31" s="233">
        <f>0</f>
        <v>0</v>
      </c>
      <c r="AG31" s="233">
        <f>0</f>
        <v>0</v>
      </c>
      <c r="AH31" s="233">
        <f>0</f>
        <v>0</v>
      </c>
      <c r="AI31" s="233">
        <f>0</f>
        <v>0</v>
      </c>
      <c r="AJ31" s="233">
        <f>0</f>
        <v>0</v>
      </c>
      <c r="AK31" s="233">
        <f>0</f>
        <v>0</v>
      </c>
      <c r="AL31" s="234">
        <f>0</f>
        <v>0</v>
      </c>
    </row>
    <row r="32" spans="1:39" outlineLevel="3">
      <c r="A32" s="185" t="s">
        <v>204</v>
      </c>
      <c r="B32" s="226" t="s">
        <v>263</v>
      </c>
      <c r="C32" s="235" t="s">
        <v>264</v>
      </c>
      <c r="D32" s="236" t="s">
        <v>265</v>
      </c>
      <c r="E32" s="229">
        <f>0</f>
        <v>0</v>
      </c>
      <c r="F32" s="230">
        <f>0</f>
        <v>0</v>
      </c>
      <c r="G32" s="230">
        <f>0</f>
        <v>0</v>
      </c>
      <c r="H32" s="231">
        <f>0</f>
        <v>0</v>
      </c>
      <c r="I32" s="232">
        <f>0</f>
        <v>0</v>
      </c>
      <c r="J32" s="233">
        <f>0</f>
        <v>0</v>
      </c>
      <c r="K32" s="233">
        <f>0</f>
        <v>0</v>
      </c>
      <c r="L32" s="233">
        <f>0</f>
        <v>0</v>
      </c>
      <c r="M32" s="233">
        <f>0</f>
        <v>0</v>
      </c>
      <c r="N32" s="233">
        <f>0</f>
        <v>0</v>
      </c>
      <c r="O32" s="233">
        <f>0</f>
        <v>0</v>
      </c>
      <c r="P32" s="233">
        <f>0</f>
        <v>0</v>
      </c>
      <c r="Q32" s="233">
        <f>0</f>
        <v>0</v>
      </c>
      <c r="R32" s="233">
        <f>0</f>
        <v>0</v>
      </c>
      <c r="S32" s="233">
        <f>0</f>
        <v>0</v>
      </c>
      <c r="T32" s="233">
        <f>0</f>
        <v>0</v>
      </c>
      <c r="U32" s="233">
        <f>0</f>
        <v>0</v>
      </c>
      <c r="V32" s="233">
        <f>0</f>
        <v>0</v>
      </c>
      <c r="W32" s="233">
        <f>0</f>
        <v>0</v>
      </c>
      <c r="X32" s="233">
        <f>0</f>
        <v>0</v>
      </c>
      <c r="Y32" s="233">
        <f>0</f>
        <v>0</v>
      </c>
      <c r="Z32" s="233">
        <f>0</f>
        <v>0</v>
      </c>
      <c r="AA32" s="233">
        <f>0</f>
        <v>0</v>
      </c>
      <c r="AB32" s="233">
        <f>0</f>
        <v>0</v>
      </c>
      <c r="AC32" s="233">
        <f>0</f>
        <v>0</v>
      </c>
      <c r="AD32" s="233">
        <f>0</f>
        <v>0</v>
      </c>
      <c r="AE32" s="233">
        <f>0</f>
        <v>0</v>
      </c>
      <c r="AF32" s="233">
        <f>0</f>
        <v>0</v>
      </c>
      <c r="AG32" s="233">
        <f>0</f>
        <v>0</v>
      </c>
      <c r="AH32" s="233">
        <f>0</f>
        <v>0</v>
      </c>
      <c r="AI32" s="233">
        <f>0</f>
        <v>0</v>
      </c>
      <c r="AJ32" s="233">
        <f>0</f>
        <v>0</v>
      </c>
      <c r="AK32" s="233">
        <f>0</f>
        <v>0</v>
      </c>
      <c r="AL32" s="234">
        <f>0</f>
        <v>0</v>
      </c>
    </row>
    <row r="33" spans="1:39" ht="15" customHeight="1" outlineLevel="2">
      <c r="A33" s="185" t="s">
        <v>204</v>
      </c>
      <c r="B33" s="226" t="s">
        <v>266</v>
      </c>
      <c r="C33" s="235" t="s">
        <v>267</v>
      </c>
      <c r="D33" s="228" t="s">
        <v>268</v>
      </c>
      <c r="E33" s="229">
        <f>0</f>
        <v>0</v>
      </c>
      <c r="F33" s="230">
        <f>1322378</f>
        <v>1322378</v>
      </c>
      <c r="G33" s="230">
        <f>658562</f>
        <v>658562</v>
      </c>
      <c r="H33" s="231">
        <f>658562</f>
        <v>658562</v>
      </c>
      <c r="I33" s="232">
        <f>0</f>
        <v>0</v>
      </c>
      <c r="J33" s="233">
        <f>0</f>
        <v>0</v>
      </c>
      <c r="K33" s="233">
        <f>0</f>
        <v>0</v>
      </c>
      <c r="L33" s="233">
        <f>0</f>
        <v>0</v>
      </c>
      <c r="M33" s="233">
        <f>0</f>
        <v>0</v>
      </c>
      <c r="N33" s="233">
        <f>0</f>
        <v>0</v>
      </c>
      <c r="O33" s="233">
        <f>0</f>
        <v>0</v>
      </c>
      <c r="P33" s="233">
        <f>0</f>
        <v>0</v>
      </c>
      <c r="Q33" s="233">
        <f>0</f>
        <v>0</v>
      </c>
      <c r="R33" s="233">
        <f>0</f>
        <v>0</v>
      </c>
      <c r="S33" s="233">
        <f>0</f>
        <v>0</v>
      </c>
      <c r="T33" s="233">
        <f>0</f>
        <v>0</v>
      </c>
      <c r="U33" s="233">
        <f>0</f>
        <v>0</v>
      </c>
      <c r="V33" s="233">
        <f>0</f>
        <v>0</v>
      </c>
      <c r="W33" s="233">
        <f>0</f>
        <v>0</v>
      </c>
      <c r="X33" s="233">
        <f>0</f>
        <v>0</v>
      </c>
      <c r="Y33" s="233">
        <f>0</f>
        <v>0</v>
      </c>
      <c r="Z33" s="233">
        <f>0</f>
        <v>0</v>
      </c>
      <c r="AA33" s="233">
        <f>0</f>
        <v>0</v>
      </c>
      <c r="AB33" s="233">
        <f>0</f>
        <v>0</v>
      </c>
      <c r="AC33" s="233">
        <f>0</f>
        <v>0</v>
      </c>
      <c r="AD33" s="233">
        <f>0</f>
        <v>0</v>
      </c>
      <c r="AE33" s="233">
        <f>0</f>
        <v>0</v>
      </c>
      <c r="AF33" s="233">
        <f>0</f>
        <v>0</v>
      </c>
      <c r="AG33" s="233">
        <f>0</f>
        <v>0</v>
      </c>
      <c r="AH33" s="233">
        <f>0</f>
        <v>0</v>
      </c>
      <c r="AI33" s="233">
        <f>0</f>
        <v>0</v>
      </c>
      <c r="AJ33" s="233">
        <f>0</f>
        <v>0</v>
      </c>
      <c r="AK33" s="233">
        <f>0</f>
        <v>0</v>
      </c>
      <c r="AL33" s="234">
        <f>0</f>
        <v>0</v>
      </c>
    </row>
    <row r="34" spans="1:39" outlineLevel="3">
      <c r="A34" s="185" t="s">
        <v>204</v>
      </c>
      <c r="B34" s="226" t="s">
        <v>269</v>
      </c>
      <c r="C34" s="235" t="s">
        <v>270</v>
      </c>
      <c r="D34" s="236" t="s">
        <v>265</v>
      </c>
      <c r="E34" s="229">
        <f>0</f>
        <v>0</v>
      </c>
      <c r="F34" s="230">
        <f>0</f>
        <v>0</v>
      </c>
      <c r="G34" s="230">
        <f>0</f>
        <v>0</v>
      </c>
      <c r="H34" s="231">
        <f>0</f>
        <v>0</v>
      </c>
      <c r="I34" s="232">
        <f>0</f>
        <v>0</v>
      </c>
      <c r="J34" s="233">
        <f>0</f>
        <v>0</v>
      </c>
      <c r="K34" s="233">
        <f>0</f>
        <v>0</v>
      </c>
      <c r="L34" s="233">
        <f>0</f>
        <v>0</v>
      </c>
      <c r="M34" s="233">
        <f>0</f>
        <v>0</v>
      </c>
      <c r="N34" s="233">
        <f>0</f>
        <v>0</v>
      </c>
      <c r="O34" s="233">
        <f>0</f>
        <v>0</v>
      </c>
      <c r="P34" s="233">
        <f>0</f>
        <v>0</v>
      </c>
      <c r="Q34" s="233">
        <f>0</f>
        <v>0</v>
      </c>
      <c r="R34" s="233">
        <f>0</f>
        <v>0</v>
      </c>
      <c r="S34" s="233">
        <f>0</f>
        <v>0</v>
      </c>
      <c r="T34" s="233">
        <f>0</f>
        <v>0</v>
      </c>
      <c r="U34" s="233">
        <f>0</f>
        <v>0</v>
      </c>
      <c r="V34" s="233">
        <f>0</f>
        <v>0</v>
      </c>
      <c r="W34" s="233">
        <f>0</f>
        <v>0</v>
      </c>
      <c r="X34" s="233">
        <f>0</f>
        <v>0</v>
      </c>
      <c r="Y34" s="233">
        <f>0</f>
        <v>0</v>
      </c>
      <c r="Z34" s="233">
        <f>0</f>
        <v>0</v>
      </c>
      <c r="AA34" s="233">
        <f>0</f>
        <v>0</v>
      </c>
      <c r="AB34" s="233">
        <f>0</f>
        <v>0</v>
      </c>
      <c r="AC34" s="233">
        <f>0</f>
        <v>0</v>
      </c>
      <c r="AD34" s="233">
        <f>0</f>
        <v>0</v>
      </c>
      <c r="AE34" s="233">
        <f>0</f>
        <v>0</v>
      </c>
      <c r="AF34" s="233">
        <f>0</f>
        <v>0</v>
      </c>
      <c r="AG34" s="233">
        <f>0</f>
        <v>0</v>
      </c>
      <c r="AH34" s="233">
        <f>0</f>
        <v>0</v>
      </c>
      <c r="AI34" s="233">
        <f>0</f>
        <v>0</v>
      </c>
      <c r="AJ34" s="233">
        <f>0</f>
        <v>0</v>
      </c>
      <c r="AK34" s="233">
        <f>0</f>
        <v>0</v>
      </c>
      <c r="AL34" s="234">
        <f>0</f>
        <v>0</v>
      </c>
    </row>
    <row r="35" spans="1:39" outlineLevel="2">
      <c r="A35" s="185" t="s">
        <v>204</v>
      </c>
      <c r="B35" s="226" t="s">
        <v>271</v>
      </c>
      <c r="C35" s="235" t="s">
        <v>272</v>
      </c>
      <c r="D35" s="228" t="s">
        <v>273</v>
      </c>
      <c r="E35" s="229">
        <f>2895310.99</f>
        <v>2895310.99</v>
      </c>
      <c r="F35" s="230">
        <f>5075916.58</f>
        <v>5075916.58</v>
      </c>
      <c r="G35" s="230">
        <f>515035</f>
        <v>515035</v>
      </c>
      <c r="H35" s="231">
        <f>515034.42</f>
        <v>515034.42</v>
      </c>
      <c r="I35" s="232">
        <f>0</f>
        <v>0</v>
      </c>
      <c r="J35" s="233">
        <f>0</f>
        <v>0</v>
      </c>
      <c r="K35" s="233">
        <f>0</f>
        <v>0</v>
      </c>
      <c r="L35" s="233">
        <f>0</f>
        <v>0</v>
      </c>
      <c r="M35" s="233">
        <f>0</f>
        <v>0</v>
      </c>
      <c r="N35" s="233">
        <f>0</f>
        <v>0</v>
      </c>
      <c r="O35" s="233">
        <f>0</f>
        <v>0</v>
      </c>
      <c r="P35" s="233">
        <f>0</f>
        <v>0</v>
      </c>
      <c r="Q35" s="233">
        <f>0</f>
        <v>0</v>
      </c>
      <c r="R35" s="233">
        <f>0</f>
        <v>0</v>
      </c>
      <c r="S35" s="233">
        <f>0</f>
        <v>0</v>
      </c>
      <c r="T35" s="233">
        <f>0</f>
        <v>0</v>
      </c>
      <c r="U35" s="233">
        <f>0</f>
        <v>0</v>
      </c>
      <c r="V35" s="233">
        <f>0</f>
        <v>0</v>
      </c>
      <c r="W35" s="233">
        <f>0</f>
        <v>0</v>
      </c>
      <c r="X35" s="233">
        <f>0</f>
        <v>0</v>
      </c>
      <c r="Y35" s="233">
        <f>0</f>
        <v>0</v>
      </c>
      <c r="Z35" s="233">
        <f>0</f>
        <v>0</v>
      </c>
      <c r="AA35" s="233">
        <f>0</f>
        <v>0</v>
      </c>
      <c r="AB35" s="233">
        <f>0</f>
        <v>0</v>
      </c>
      <c r="AC35" s="233">
        <f>0</f>
        <v>0</v>
      </c>
      <c r="AD35" s="233">
        <f>0</f>
        <v>0</v>
      </c>
      <c r="AE35" s="233">
        <f>0</f>
        <v>0</v>
      </c>
      <c r="AF35" s="233">
        <f>0</f>
        <v>0</v>
      </c>
      <c r="AG35" s="233">
        <f>0</f>
        <v>0</v>
      </c>
      <c r="AH35" s="233">
        <f>0</f>
        <v>0</v>
      </c>
      <c r="AI35" s="233">
        <f>0</f>
        <v>0</v>
      </c>
      <c r="AJ35" s="233">
        <f>0</f>
        <v>0</v>
      </c>
      <c r="AK35" s="233">
        <f>0</f>
        <v>0</v>
      </c>
      <c r="AL35" s="234">
        <f>0</f>
        <v>0</v>
      </c>
    </row>
    <row r="36" spans="1:39" outlineLevel="3">
      <c r="A36" s="185" t="s">
        <v>204</v>
      </c>
      <c r="B36" s="226" t="s">
        <v>274</v>
      </c>
      <c r="C36" s="235" t="s">
        <v>270</v>
      </c>
      <c r="D36" s="236" t="s">
        <v>265</v>
      </c>
      <c r="E36" s="229">
        <f>0</f>
        <v>0</v>
      </c>
      <c r="F36" s="230">
        <f>4228860.85</f>
        <v>4228860.8499999996</v>
      </c>
      <c r="G36" s="230">
        <f>0</f>
        <v>0</v>
      </c>
      <c r="H36" s="231">
        <f>0</f>
        <v>0</v>
      </c>
      <c r="I36" s="232">
        <f>0</f>
        <v>0</v>
      </c>
      <c r="J36" s="233">
        <f>0</f>
        <v>0</v>
      </c>
      <c r="K36" s="233">
        <f>0</f>
        <v>0</v>
      </c>
      <c r="L36" s="233">
        <f>0</f>
        <v>0</v>
      </c>
      <c r="M36" s="233">
        <f>0</f>
        <v>0</v>
      </c>
      <c r="N36" s="233">
        <f>0</f>
        <v>0</v>
      </c>
      <c r="O36" s="233">
        <f>0</f>
        <v>0</v>
      </c>
      <c r="P36" s="233">
        <f>0</f>
        <v>0</v>
      </c>
      <c r="Q36" s="233">
        <f>0</f>
        <v>0</v>
      </c>
      <c r="R36" s="233">
        <f>0</f>
        <v>0</v>
      </c>
      <c r="S36" s="233">
        <f>0</f>
        <v>0</v>
      </c>
      <c r="T36" s="233">
        <f>0</f>
        <v>0</v>
      </c>
      <c r="U36" s="233">
        <f>0</f>
        <v>0</v>
      </c>
      <c r="V36" s="233">
        <f>0</f>
        <v>0</v>
      </c>
      <c r="W36" s="233">
        <f>0</f>
        <v>0</v>
      </c>
      <c r="X36" s="233">
        <f>0</f>
        <v>0</v>
      </c>
      <c r="Y36" s="233">
        <f>0</f>
        <v>0</v>
      </c>
      <c r="Z36" s="233">
        <f>0</f>
        <v>0</v>
      </c>
      <c r="AA36" s="233">
        <f>0</f>
        <v>0</v>
      </c>
      <c r="AB36" s="233">
        <f>0</f>
        <v>0</v>
      </c>
      <c r="AC36" s="233">
        <f>0</f>
        <v>0</v>
      </c>
      <c r="AD36" s="233">
        <f>0</f>
        <v>0</v>
      </c>
      <c r="AE36" s="233">
        <f>0</f>
        <v>0</v>
      </c>
      <c r="AF36" s="233">
        <f>0</f>
        <v>0</v>
      </c>
      <c r="AG36" s="233">
        <f>0</f>
        <v>0</v>
      </c>
      <c r="AH36" s="233">
        <f>0</f>
        <v>0</v>
      </c>
      <c r="AI36" s="233">
        <f>0</f>
        <v>0</v>
      </c>
      <c r="AJ36" s="233">
        <f>0</f>
        <v>0</v>
      </c>
      <c r="AK36" s="233">
        <f>0</f>
        <v>0</v>
      </c>
      <c r="AL36" s="234">
        <f>0</f>
        <v>0</v>
      </c>
    </row>
    <row r="37" spans="1:39" outlineLevel="2">
      <c r="A37" s="185" t="s">
        <v>204</v>
      </c>
      <c r="B37" s="226" t="s">
        <v>275</v>
      </c>
      <c r="C37" s="235" t="s">
        <v>276</v>
      </c>
      <c r="D37" s="228" t="s">
        <v>276</v>
      </c>
      <c r="E37" s="229">
        <f>0</f>
        <v>0</v>
      </c>
      <c r="F37" s="230">
        <f>0</f>
        <v>0</v>
      </c>
      <c r="G37" s="230">
        <f>7263</f>
        <v>7263</v>
      </c>
      <c r="H37" s="231">
        <f>7252.5</f>
        <v>7252.5</v>
      </c>
      <c r="I37" s="232">
        <f>0</f>
        <v>0</v>
      </c>
      <c r="J37" s="233">
        <f>0</f>
        <v>0</v>
      </c>
      <c r="K37" s="233">
        <f>0</f>
        <v>0</v>
      </c>
      <c r="L37" s="233">
        <f>0</f>
        <v>0</v>
      </c>
      <c r="M37" s="233">
        <f>0</f>
        <v>0</v>
      </c>
      <c r="N37" s="233">
        <f>0</f>
        <v>0</v>
      </c>
      <c r="O37" s="233">
        <f>0</f>
        <v>0</v>
      </c>
      <c r="P37" s="233">
        <f>0</f>
        <v>0</v>
      </c>
      <c r="Q37" s="233">
        <f>0</f>
        <v>0</v>
      </c>
      <c r="R37" s="233">
        <f>0</f>
        <v>0</v>
      </c>
      <c r="S37" s="233">
        <f>0</f>
        <v>0</v>
      </c>
      <c r="T37" s="233">
        <f>0</f>
        <v>0</v>
      </c>
      <c r="U37" s="233">
        <f>0</f>
        <v>0</v>
      </c>
      <c r="V37" s="233">
        <f>0</f>
        <v>0</v>
      </c>
      <c r="W37" s="233">
        <f>0</f>
        <v>0</v>
      </c>
      <c r="X37" s="233">
        <f>0</f>
        <v>0</v>
      </c>
      <c r="Y37" s="233">
        <f>0</f>
        <v>0</v>
      </c>
      <c r="Z37" s="233">
        <f>0</f>
        <v>0</v>
      </c>
      <c r="AA37" s="233">
        <f>0</f>
        <v>0</v>
      </c>
      <c r="AB37" s="233">
        <f>0</f>
        <v>0</v>
      </c>
      <c r="AC37" s="233">
        <f>0</f>
        <v>0</v>
      </c>
      <c r="AD37" s="233">
        <f>0</f>
        <v>0</v>
      </c>
      <c r="AE37" s="233">
        <f>0</f>
        <v>0</v>
      </c>
      <c r="AF37" s="233">
        <f>0</f>
        <v>0</v>
      </c>
      <c r="AG37" s="233">
        <f>0</f>
        <v>0</v>
      </c>
      <c r="AH37" s="233">
        <f>0</f>
        <v>0</v>
      </c>
      <c r="AI37" s="233">
        <f>0</f>
        <v>0</v>
      </c>
      <c r="AJ37" s="233">
        <f>0</f>
        <v>0</v>
      </c>
      <c r="AK37" s="233">
        <f>0</f>
        <v>0</v>
      </c>
      <c r="AL37" s="234">
        <f>0</f>
        <v>0</v>
      </c>
    </row>
    <row r="38" spans="1:39" outlineLevel="3">
      <c r="A38" s="185" t="s">
        <v>204</v>
      </c>
      <c r="B38" s="226" t="s">
        <v>277</v>
      </c>
      <c r="C38" s="235" t="s">
        <v>270</v>
      </c>
      <c r="D38" s="236" t="s">
        <v>265</v>
      </c>
      <c r="E38" s="229">
        <f>0</f>
        <v>0</v>
      </c>
      <c r="F38" s="230">
        <f>0</f>
        <v>0</v>
      </c>
      <c r="G38" s="230">
        <f>0</f>
        <v>0</v>
      </c>
      <c r="H38" s="231">
        <f>0</f>
        <v>0</v>
      </c>
      <c r="I38" s="232">
        <f>0</f>
        <v>0</v>
      </c>
      <c r="J38" s="233">
        <f>0</f>
        <v>0</v>
      </c>
      <c r="K38" s="233">
        <f>0</f>
        <v>0</v>
      </c>
      <c r="L38" s="233">
        <f>0</f>
        <v>0</v>
      </c>
      <c r="M38" s="233">
        <f>0</f>
        <v>0</v>
      </c>
      <c r="N38" s="233">
        <f>0</f>
        <v>0</v>
      </c>
      <c r="O38" s="233">
        <f>0</f>
        <v>0</v>
      </c>
      <c r="P38" s="233">
        <f>0</f>
        <v>0</v>
      </c>
      <c r="Q38" s="233">
        <f>0</f>
        <v>0</v>
      </c>
      <c r="R38" s="233">
        <f>0</f>
        <v>0</v>
      </c>
      <c r="S38" s="233">
        <f>0</f>
        <v>0</v>
      </c>
      <c r="T38" s="233">
        <f>0</f>
        <v>0</v>
      </c>
      <c r="U38" s="233">
        <f>0</f>
        <v>0</v>
      </c>
      <c r="V38" s="233">
        <f>0</f>
        <v>0</v>
      </c>
      <c r="W38" s="233">
        <f>0</f>
        <v>0</v>
      </c>
      <c r="X38" s="233">
        <f>0</f>
        <v>0</v>
      </c>
      <c r="Y38" s="233">
        <f>0</f>
        <v>0</v>
      </c>
      <c r="Z38" s="233">
        <f>0</f>
        <v>0</v>
      </c>
      <c r="AA38" s="233">
        <f>0</f>
        <v>0</v>
      </c>
      <c r="AB38" s="233">
        <f>0</f>
        <v>0</v>
      </c>
      <c r="AC38" s="233">
        <f>0</f>
        <v>0</v>
      </c>
      <c r="AD38" s="233">
        <f>0</f>
        <v>0</v>
      </c>
      <c r="AE38" s="233">
        <f>0</f>
        <v>0</v>
      </c>
      <c r="AF38" s="233">
        <f>0</f>
        <v>0</v>
      </c>
      <c r="AG38" s="233">
        <f>0</f>
        <v>0</v>
      </c>
      <c r="AH38" s="233">
        <f>0</f>
        <v>0</v>
      </c>
      <c r="AI38" s="233">
        <f>0</f>
        <v>0</v>
      </c>
      <c r="AJ38" s="233">
        <f>0</f>
        <v>0</v>
      </c>
      <c r="AK38" s="233">
        <f>0</f>
        <v>0</v>
      </c>
      <c r="AL38" s="234">
        <f>0</f>
        <v>0</v>
      </c>
    </row>
    <row r="39" spans="1:39" ht="15" outlineLevel="1">
      <c r="A39" s="185" t="s">
        <v>204</v>
      </c>
      <c r="B39" s="216">
        <v>5</v>
      </c>
      <c r="C39" s="217" t="s">
        <v>278</v>
      </c>
      <c r="D39" s="218" t="s">
        <v>278</v>
      </c>
      <c r="E39" s="219">
        <f>1504978.76</f>
        <v>1504978.76</v>
      </c>
      <c r="F39" s="220">
        <f>1503605.29</f>
        <v>1503605.29</v>
      </c>
      <c r="G39" s="220">
        <f>1594521</f>
        <v>1594521</v>
      </c>
      <c r="H39" s="221">
        <f>1594516</f>
        <v>1594516</v>
      </c>
      <c r="I39" s="222">
        <f>1864521</f>
        <v>1864521</v>
      </c>
      <c r="J39" s="223">
        <f t="shared" ref="J39:N40" si="1">1953410</f>
        <v>1953410</v>
      </c>
      <c r="K39" s="223">
        <f t="shared" si="1"/>
        <v>1953410</v>
      </c>
      <c r="L39" s="223">
        <f t="shared" si="1"/>
        <v>1953410</v>
      </c>
      <c r="M39" s="223">
        <f t="shared" si="1"/>
        <v>1953410</v>
      </c>
      <c r="N39" s="223">
        <f t="shared" si="1"/>
        <v>1953410</v>
      </c>
      <c r="O39" s="223">
        <f>1913410</f>
        <v>1913410</v>
      </c>
      <c r="P39" s="223">
        <f>1010016</f>
        <v>1010016</v>
      </c>
      <c r="Q39" s="223">
        <f>358852</f>
        <v>358852</v>
      </c>
      <c r="R39" s="223">
        <f>358933.42</f>
        <v>358933.42</v>
      </c>
      <c r="S39" s="223">
        <f>0</f>
        <v>0</v>
      </c>
      <c r="T39" s="223">
        <f>0</f>
        <v>0</v>
      </c>
      <c r="U39" s="223">
        <f>0</f>
        <v>0</v>
      </c>
      <c r="V39" s="223">
        <f>0</f>
        <v>0</v>
      </c>
      <c r="W39" s="223">
        <f>0</f>
        <v>0</v>
      </c>
      <c r="X39" s="223">
        <f>0</f>
        <v>0</v>
      </c>
      <c r="Y39" s="223">
        <f>0</f>
        <v>0</v>
      </c>
      <c r="Z39" s="223">
        <f>0</f>
        <v>0</v>
      </c>
      <c r="AA39" s="223">
        <f>0</f>
        <v>0</v>
      </c>
      <c r="AB39" s="223">
        <f>0</f>
        <v>0</v>
      </c>
      <c r="AC39" s="223">
        <f>0</f>
        <v>0</v>
      </c>
      <c r="AD39" s="223">
        <f>0</f>
        <v>0</v>
      </c>
      <c r="AE39" s="223">
        <f>0</f>
        <v>0</v>
      </c>
      <c r="AF39" s="223">
        <f>0</f>
        <v>0</v>
      </c>
      <c r="AG39" s="223">
        <f>0</f>
        <v>0</v>
      </c>
      <c r="AH39" s="223">
        <f>0</f>
        <v>0</v>
      </c>
      <c r="AI39" s="223">
        <f>0</f>
        <v>0</v>
      </c>
      <c r="AJ39" s="223">
        <f>0</f>
        <v>0</v>
      </c>
      <c r="AK39" s="223">
        <f>0</f>
        <v>0</v>
      </c>
      <c r="AL39" s="224">
        <f>0</f>
        <v>0</v>
      </c>
      <c r="AM39" s="225"/>
    </row>
    <row r="40" spans="1:39" ht="24" outlineLevel="2">
      <c r="A40" s="185" t="s">
        <v>204</v>
      </c>
      <c r="B40" s="226" t="s">
        <v>279</v>
      </c>
      <c r="C40" s="235" t="s">
        <v>280</v>
      </c>
      <c r="D40" s="228" t="s">
        <v>281</v>
      </c>
      <c r="E40" s="229">
        <f>1504978.76</f>
        <v>1504978.76</v>
      </c>
      <c r="F40" s="230">
        <f>1503605.29</f>
        <v>1503605.29</v>
      </c>
      <c r="G40" s="230">
        <f>1594521</f>
        <v>1594521</v>
      </c>
      <c r="H40" s="231">
        <f>1594516</f>
        <v>1594516</v>
      </c>
      <c r="I40" s="232">
        <f>1864521</f>
        <v>1864521</v>
      </c>
      <c r="J40" s="233">
        <f t="shared" si="1"/>
        <v>1953410</v>
      </c>
      <c r="K40" s="233">
        <f t="shared" si="1"/>
        <v>1953410</v>
      </c>
      <c r="L40" s="233">
        <f t="shared" si="1"/>
        <v>1953410</v>
      </c>
      <c r="M40" s="233">
        <f t="shared" si="1"/>
        <v>1953410</v>
      </c>
      <c r="N40" s="233">
        <f t="shared" si="1"/>
        <v>1953410</v>
      </c>
      <c r="O40" s="233">
        <f>1913410</f>
        <v>1913410</v>
      </c>
      <c r="P40" s="233">
        <f>1010016</f>
        <v>1010016</v>
      </c>
      <c r="Q40" s="233">
        <f>358852</f>
        <v>358852</v>
      </c>
      <c r="R40" s="233">
        <f>358933.42</f>
        <v>358933.42</v>
      </c>
      <c r="S40" s="233">
        <f>0</f>
        <v>0</v>
      </c>
      <c r="T40" s="233">
        <f>0</f>
        <v>0</v>
      </c>
      <c r="U40" s="233">
        <f>0</f>
        <v>0</v>
      </c>
      <c r="V40" s="233">
        <f>0</f>
        <v>0</v>
      </c>
      <c r="W40" s="233">
        <f>0</f>
        <v>0</v>
      </c>
      <c r="X40" s="233">
        <f>0</f>
        <v>0</v>
      </c>
      <c r="Y40" s="233">
        <f>0</f>
        <v>0</v>
      </c>
      <c r="Z40" s="233">
        <f>0</f>
        <v>0</v>
      </c>
      <c r="AA40" s="233">
        <f>0</f>
        <v>0</v>
      </c>
      <c r="AB40" s="233">
        <f>0</f>
        <v>0</v>
      </c>
      <c r="AC40" s="233">
        <f>0</f>
        <v>0</v>
      </c>
      <c r="AD40" s="233">
        <f>0</f>
        <v>0</v>
      </c>
      <c r="AE40" s="233">
        <f>0</f>
        <v>0</v>
      </c>
      <c r="AF40" s="233">
        <f>0</f>
        <v>0</v>
      </c>
      <c r="AG40" s="233">
        <f>0</f>
        <v>0</v>
      </c>
      <c r="AH40" s="233">
        <f>0</f>
        <v>0</v>
      </c>
      <c r="AI40" s="233">
        <f>0</f>
        <v>0</v>
      </c>
      <c r="AJ40" s="233">
        <f>0</f>
        <v>0</v>
      </c>
      <c r="AK40" s="233">
        <f>0</f>
        <v>0</v>
      </c>
      <c r="AL40" s="234">
        <f>0</f>
        <v>0</v>
      </c>
    </row>
    <row r="41" spans="1:39" ht="41.25" customHeight="1" outlineLevel="3">
      <c r="A41" s="185" t="s">
        <v>204</v>
      </c>
      <c r="B41" s="226" t="s">
        <v>282</v>
      </c>
      <c r="C41" s="235" t="s">
        <v>283</v>
      </c>
      <c r="D41" s="236" t="s">
        <v>284</v>
      </c>
      <c r="E41" s="229">
        <f>160000</f>
        <v>160000</v>
      </c>
      <c r="F41" s="230">
        <f>401152.51</f>
        <v>401152.51</v>
      </c>
      <c r="G41" s="230">
        <f>318623</f>
        <v>318623</v>
      </c>
      <c r="H41" s="231">
        <f>318623.24</f>
        <v>318623.24</v>
      </c>
      <c r="I41" s="232">
        <v>564826.16</v>
      </c>
      <c r="J41" s="233">
        <f>0</f>
        <v>0</v>
      </c>
      <c r="K41" s="233">
        <f>0</f>
        <v>0</v>
      </c>
      <c r="L41" s="233">
        <f>0</f>
        <v>0</v>
      </c>
      <c r="M41" s="233">
        <f>0</f>
        <v>0</v>
      </c>
      <c r="N41" s="233">
        <f>0</f>
        <v>0</v>
      </c>
      <c r="O41" s="233">
        <f>0</f>
        <v>0</v>
      </c>
      <c r="P41" s="233">
        <f>0</f>
        <v>0</v>
      </c>
      <c r="Q41" s="233">
        <f>0</f>
        <v>0</v>
      </c>
      <c r="R41" s="233">
        <f>0</f>
        <v>0</v>
      </c>
      <c r="S41" s="233">
        <f>0</f>
        <v>0</v>
      </c>
      <c r="T41" s="233">
        <f>0</f>
        <v>0</v>
      </c>
      <c r="U41" s="233">
        <f>0</f>
        <v>0</v>
      </c>
      <c r="V41" s="233">
        <f>0</f>
        <v>0</v>
      </c>
      <c r="W41" s="233">
        <f>0</f>
        <v>0</v>
      </c>
      <c r="X41" s="233">
        <f>0</f>
        <v>0</v>
      </c>
      <c r="Y41" s="233">
        <f>0</f>
        <v>0</v>
      </c>
      <c r="Z41" s="233">
        <f>0</f>
        <v>0</v>
      </c>
      <c r="AA41" s="233">
        <f>0</f>
        <v>0</v>
      </c>
      <c r="AB41" s="233">
        <f>0</f>
        <v>0</v>
      </c>
      <c r="AC41" s="233">
        <f>0</f>
        <v>0</v>
      </c>
      <c r="AD41" s="233">
        <f>0</f>
        <v>0</v>
      </c>
      <c r="AE41" s="233">
        <f>0</f>
        <v>0</v>
      </c>
      <c r="AF41" s="233">
        <f>0</f>
        <v>0</v>
      </c>
      <c r="AG41" s="233">
        <f>0</f>
        <v>0</v>
      </c>
      <c r="AH41" s="233">
        <f>0</f>
        <v>0</v>
      </c>
      <c r="AI41" s="233">
        <f>0</f>
        <v>0</v>
      </c>
      <c r="AJ41" s="233">
        <f>0</f>
        <v>0</v>
      </c>
      <c r="AK41" s="233">
        <f>0</f>
        <v>0</v>
      </c>
      <c r="AL41" s="234">
        <f>0</f>
        <v>0</v>
      </c>
    </row>
    <row r="42" spans="1:39" ht="24.75" customHeight="1" outlineLevel="4">
      <c r="A42" s="185" t="s">
        <v>204</v>
      </c>
      <c r="B42" s="226" t="s">
        <v>285</v>
      </c>
      <c r="C42" s="235" t="s">
        <v>286</v>
      </c>
      <c r="D42" s="237" t="s">
        <v>287</v>
      </c>
      <c r="E42" s="229">
        <f>160000</f>
        <v>160000</v>
      </c>
      <c r="F42" s="230">
        <f>401152.51</f>
        <v>401152.51</v>
      </c>
      <c r="G42" s="230">
        <f>318623</f>
        <v>318623</v>
      </c>
      <c r="H42" s="231">
        <f>318623.24</f>
        <v>318623.24</v>
      </c>
      <c r="I42" s="232">
        <v>564826.16</v>
      </c>
      <c r="J42" s="233">
        <f>0</f>
        <v>0</v>
      </c>
      <c r="K42" s="233">
        <f>0</f>
        <v>0</v>
      </c>
      <c r="L42" s="233">
        <f>0</f>
        <v>0</v>
      </c>
      <c r="M42" s="233">
        <f>0</f>
        <v>0</v>
      </c>
      <c r="N42" s="233">
        <f>0</f>
        <v>0</v>
      </c>
      <c r="O42" s="233">
        <f>0</f>
        <v>0</v>
      </c>
      <c r="P42" s="233">
        <f>0</f>
        <v>0</v>
      </c>
      <c r="Q42" s="233">
        <f>0</f>
        <v>0</v>
      </c>
      <c r="R42" s="233">
        <f>0</f>
        <v>0</v>
      </c>
      <c r="S42" s="233">
        <f>0</f>
        <v>0</v>
      </c>
      <c r="T42" s="233">
        <f>0</f>
        <v>0</v>
      </c>
      <c r="U42" s="233">
        <f>0</f>
        <v>0</v>
      </c>
      <c r="V42" s="233">
        <f>0</f>
        <v>0</v>
      </c>
      <c r="W42" s="233">
        <f>0</f>
        <v>0</v>
      </c>
      <c r="X42" s="233">
        <f>0</f>
        <v>0</v>
      </c>
      <c r="Y42" s="233">
        <f>0</f>
        <v>0</v>
      </c>
      <c r="Z42" s="233">
        <f>0</f>
        <v>0</v>
      </c>
      <c r="AA42" s="233">
        <f>0</f>
        <v>0</v>
      </c>
      <c r="AB42" s="233">
        <f>0</f>
        <v>0</v>
      </c>
      <c r="AC42" s="233">
        <f>0</f>
        <v>0</v>
      </c>
      <c r="AD42" s="233">
        <f>0</f>
        <v>0</v>
      </c>
      <c r="AE42" s="233">
        <f>0</f>
        <v>0</v>
      </c>
      <c r="AF42" s="233">
        <f>0</f>
        <v>0</v>
      </c>
      <c r="AG42" s="233">
        <f>0</f>
        <v>0</v>
      </c>
      <c r="AH42" s="233">
        <f>0</f>
        <v>0</v>
      </c>
      <c r="AI42" s="233">
        <f>0</f>
        <v>0</v>
      </c>
      <c r="AJ42" s="233">
        <f>0</f>
        <v>0</v>
      </c>
      <c r="AK42" s="233">
        <f>0</f>
        <v>0</v>
      </c>
      <c r="AL42" s="234">
        <f>0</f>
        <v>0</v>
      </c>
    </row>
    <row r="43" spans="1:39" ht="26.25" customHeight="1" outlineLevel="4">
      <c r="A43" s="185" t="s">
        <v>204</v>
      </c>
      <c r="B43" s="226" t="s">
        <v>288</v>
      </c>
      <c r="C43" s="235" t="s">
        <v>289</v>
      </c>
      <c r="D43" s="237" t="s">
        <v>290</v>
      </c>
      <c r="E43" s="229">
        <f>0</f>
        <v>0</v>
      </c>
      <c r="F43" s="230">
        <f>0</f>
        <v>0</v>
      </c>
      <c r="G43" s="230">
        <f>0</f>
        <v>0</v>
      </c>
      <c r="H43" s="231">
        <f>0</f>
        <v>0</v>
      </c>
      <c r="I43" s="232">
        <f>0</f>
        <v>0</v>
      </c>
      <c r="J43" s="233">
        <f>0</f>
        <v>0</v>
      </c>
      <c r="K43" s="233">
        <f>0</f>
        <v>0</v>
      </c>
      <c r="L43" s="233">
        <f>0</f>
        <v>0</v>
      </c>
      <c r="M43" s="233">
        <f>0</f>
        <v>0</v>
      </c>
      <c r="N43" s="233">
        <f>0</f>
        <v>0</v>
      </c>
      <c r="O43" s="233">
        <f>0</f>
        <v>0</v>
      </c>
      <c r="P43" s="233">
        <f>0</f>
        <v>0</v>
      </c>
      <c r="Q43" s="233">
        <f>0</f>
        <v>0</v>
      </c>
      <c r="R43" s="233">
        <f>0</f>
        <v>0</v>
      </c>
      <c r="S43" s="233">
        <f>0</f>
        <v>0</v>
      </c>
      <c r="T43" s="233">
        <f>0</f>
        <v>0</v>
      </c>
      <c r="U43" s="233">
        <f>0</f>
        <v>0</v>
      </c>
      <c r="V43" s="233">
        <f>0</f>
        <v>0</v>
      </c>
      <c r="W43" s="233">
        <f>0</f>
        <v>0</v>
      </c>
      <c r="X43" s="233">
        <f>0</f>
        <v>0</v>
      </c>
      <c r="Y43" s="233">
        <f>0</f>
        <v>0</v>
      </c>
      <c r="Z43" s="233">
        <f>0</f>
        <v>0</v>
      </c>
      <c r="AA43" s="233">
        <f>0</f>
        <v>0</v>
      </c>
      <c r="AB43" s="233">
        <f>0</f>
        <v>0</v>
      </c>
      <c r="AC43" s="233">
        <f>0</f>
        <v>0</v>
      </c>
      <c r="AD43" s="233">
        <f>0</f>
        <v>0</v>
      </c>
      <c r="AE43" s="233">
        <f>0</f>
        <v>0</v>
      </c>
      <c r="AF43" s="233">
        <f>0</f>
        <v>0</v>
      </c>
      <c r="AG43" s="233">
        <f>0</f>
        <v>0</v>
      </c>
      <c r="AH43" s="233">
        <f>0</f>
        <v>0</v>
      </c>
      <c r="AI43" s="233">
        <f>0</f>
        <v>0</v>
      </c>
      <c r="AJ43" s="233">
        <f>0</f>
        <v>0</v>
      </c>
      <c r="AK43" s="233">
        <f>0</f>
        <v>0</v>
      </c>
      <c r="AL43" s="234">
        <f>0</f>
        <v>0</v>
      </c>
    </row>
    <row r="44" spans="1:39" ht="25.5" customHeight="1" outlineLevel="4">
      <c r="A44" s="185" t="s">
        <v>204</v>
      </c>
      <c r="B44" s="226" t="s">
        <v>291</v>
      </c>
      <c r="C44" s="235" t="s">
        <v>292</v>
      </c>
      <c r="D44" s="237" t="s">
        <v>293</v>
      </c>
      <c r="E44" s="229">
        <f>0</f>
        <v>0</v>
      </c>
      <c r="F44" s="230">
        <f>0</f>
        <v>0</v>
      </c>
      <c r="G44" s="230">
        <f>0</f>
        <v>0</v>
      </c>
      <c r="H44" s="231">
        <f>0</f>
        <v>0</v>
      </c>
      <c r="I44" s="232">
        <f>0</f>
        <v>0</v>
      </c>
      <c r="J44" s="233">
        <f>0</f>
        <v>0</v>
      </c>
      <c r="K44" s="233">
        <f>0</f>
        <v>0</v>
      </c>
      <c r="L44" s="233">
        <f>0</f>
        <v>0</v>
      </c>
      <c r="M44" s="233">
        <f>0</f>
        <v>0</v>
      </c>
      <c r="N44" s="233">
        <f>0</f>
        <v>0</v>
      </c>
      <c r="O44" s="233">
        <f>0</f>
        <v>0</v>
      </c>
      <c r="P44" s="233">
        <f>0</f>
        <v>0</v>
      </c>
      <c r="Q44" s="233">
        <f>0</f>
        <v>0</v>
      </c>
      <c r="R44" s="233">
        <f>0</f>
        <v>0</v>
      </c>
      <c r="S44" s="233">
        <f>0</f>
        <v>0</v>
      </c>
      <c r="T44" s="233">
        <f>0</f>
        <v>0</v>
      </c>
      <c r="U44" s="233">
        <f>0</f>
        <v>0</v>
      </c>
      <c r="V44" s="233">
        <f>0</f>
        <v>0</v>
      </c>
      <c r="W44" s="233">
        <f>0</f>
        <v>0</v>
      </c>
      <c r="X44" s="233">
        <f>0</f>
        <v>0</v>
      </c>
      <c r="Y44" s="233">
        <f>0</f>
        <v>0</v>
      </c>
      <c r="Z44" s="233">
        <f>0</f>
        <v>0</v>
      </c>
      <c r="AA44" s="233">
        <f>0</f>
        <v>0</v>
      </c>
      <c r="AB44" s="233">
        <f>0</f>
        <v>0</v>
      </c>
      <c r="AC44" s="233">
        <f>0</f>
        <v>0</v>
      </c>
      <c r="AD44" s="233">
        <f>0</f>
        <v>0</v>
      </c>
      <c r="AE44" s="233">
        <f>0</f>
        <v>0</v>
      </c>
      <c r="AF44" s="233">
        <f>0</f>
        <v>0</v>
      </c>
      <c r="AG44" s="233">
        <f>0</f>
        <v>0</v>
      </c>
      <c r="AH44" s="233">
        <f>0</f>
        <v>0</v>
      </c>
      <c r="AI44" s="233">
        <f>0</f>
        <v>0</v>
      </c>
      <c r="AJ44" s="233">
        <f>0</f>
        <v>0</v>
      </c>
      <c r="AK44" s="233">
        <f>0</f>
        <v>0</v>
      </c>
      <c r="AL44" s="234">
        <f>0</f>
        <v>0</v>
      </c>
    </row>
    <row r="45" spans="1:39" outlineLevel="2">
      <c r="B45" s="226" t="s">
        <v>294</v>
      </c>
      <c r="C45" s="235" t="s">
        <v>295</v>
      </c>
      <c r="D45" s="228" t="s">
        <v>295</v>
      </c>
      <c r="E45" s="229">
        <f>0</f>
        <v>0</v>
      </c>
      <c r="F45" s="230">
        <f>0</f>
        <v>0</v>
      </c>
      <c r="G45" s="230">
        <f>0</f>
        <v>0</v>
      </c>
      <c r="H45" s="231">
        <f>0</f>
        <v>0</v>
      </c>
      <c r="I45" s="232">
        <f>0</f>
        <v>0</v>
      </c>
      <c r="J45" s="233">
        <f>0</f>
        <v>0</v>
      </c>
      <c r="K45" s="233">
        <f>0</f>
        <v>0</v>
      </c>
      <c r="L45" s="233">
        <f>0</f>
        <v>0</v>
      </c>
      <c r="M45" s="233">
        <f>0</f>
        <v>0</v>
      </c>
      <c r="N45" s="233">
        <f>0</f>
        <v>0</v>
      </c>
      <c r="O45" s="233">
        <f>0</f>
        <v>0</v>
      </c>
      <c r="P45" s="233">
        <f>0</f>
        <v>0</v>
      </c>
      <c r="Q45" s="233">
        <f>0</f>
        <v>0</v>
      </c>
      <c r="R45" s="233">
        <f>0</f>
        <v>0</v>
      </c>
      <c r="S45" s="233">
        <f>0</f>
        <v>0</v>
      </c>
      <c r="T45" s="233">
        <f>0</f>
        <v>0</v>
      </c>
      <c r="U45" s="233">
        <f>0</f>
        <v>0</v>
      </c>
      <c r="V45" s="233">
        <f>0</f>
        <v>0</v>
      </c>
      <c r="W45" s="233">
        <f>0</f>
        <v>0</v>
      </c>
      <c r="X45" s="233">
        <f>0</f>
        <v>0</v>
      </c>
      <c r="Y45" s="233">
        <f>0</f>
        <v>0</v>
      </c>
      <c r="Z45" s="233">
        <f>0</f>
        <v>0</v>
      </c>
      <c r="AA45" s="233">
        <f>0</f>
        <v>0</v>
      </c>
      <c r="AB45" s="233">
        <f>0</f>
        <v>0</v>
      </c>
      <c r="AC45" s="233">
        <f>0</f>
        <v>0</v>
      </c>
      <c r="AD45" s="233">
        <f>0</f>
        <v>0</v>
      </c>
      <c r="AE45" s="233">
        <f>0</f>
        <v>0</v>
      </c>
      <c r="AF45" s="233">
        <f>0</f>
        <v>0</v>
      </c>
      <c r="AG45" s="233">
        <f>0</f>
        <v>0</v>
      </c>
      <c r="AH45" s="233">
        <f>0</f>
        <v>0</v>
      </c>
      <c r="AI45" s="233">
        <f>0</f>
        <v>0</v>
      </c>
      <c r="AJ45" s="233">
        <f>0</f>
        <v>0</v>
      </c>
      <c r="AK45" s="233">
        <f>0</f>
        <v>0</v>
      </c>
      <c r="AL45" s="234">
        <f>0</f>
        <v>0</v>
      </c>
    </row>
    <row r="46" spans="1:39" ht="15" outlineLevel="1">
      <c r="A46" s="185" t="s">
        <v>204</v>
      </c>
      <c r="B46" s="216">
        <v>6</v>
      </c>
      <c r="C46" s="217" t="s">
        <v>296</v>
      </c>
      <c r="D46" s="218" t="s">
        <v>296</v>
      </c>
      <c r="E46" s="219">
        <f>16516633.6</f>
        <v>16516633.6</v>
      </c>
      <c r="F46" s="220">
        <f>19551041.62</f>
        <v>19551041.620000001</v>
      </c>
      <c r="G46" s="220">
        <f>17650590</f>
        <v>17650590</v>
      </c>
      <c r="H46" s="221">
        <f>17851172.01</f>
        <v>17851172.010000002</v>
      </c>
      <c r="I46" s="222">
        <f>15106620.55</f>
        <v>15106620.550000001</v>
      </c>
      <c r="J46" s="223">
        <f>12473756.14</f>
        <v>12473756.140000001</v>
      </c>
      <c r="K46" s="223">
        <f>9840892.42</f>
        <v>9840892.4199999999</v>
      </c>
      <c r="L46" s="223">
        <f>7559017.42</f>
        <v>7559017.4199999999</v>
      </c>
      <c r="M46" s="223">
        <f>5594621.42</f>
        <v>5594621.4199999999</v>
      </c>
      <c r="N46" s="223">
        <f>3641211.42</f>
        <v>3641211.42</v>
      </c>
      <c r="O46" s="223">
        <f>1727801.42</f>
        <v>1727801.42</v>
      </c>
      <c r="P46" s="223">
        <f>717785.42</f>
        <v>717785.42</v>
      </c>
      <c r="Q46" s="223">
        <f>358933.42</f>
        <v>358933.42</v>
      </c>
      <c r="R46" s="223">
        <f>0</f>
        <v>0</v>
      </c>
      <c r="S46" s="223">
        <f>0</f>
        <v>0</v>
      </c>
      <c r="T46" s="223">
        <f>0</f>
        <v>0</v>
      </c>
      <c r="U46" s="223">
        <f>0</f>
        <v>0</v>
      </c>
      <c r="V46" s="223">
        <f>0</f>
        <v>0</v>
      </c>
      <c r="W46" s="223">
        <f>0</f>
        <v>0</v>
      </c>
      <c r="X46" s="223">
        <f>0</f>
        <v>0</v>
      </c>
      <c r="Y46" s="223">
        <f>0</f>
        <v>0</v>
      </c>
      <c r="Z46" s="223">
        <f>0</f>
        <v>0</v>
      </c>
      <c r="AA46" s="223">
        <f>0</f>
        <v>0</v>
      </c>
      <c r="AB46" s="223">
        <f>0</f>
        <v>0</v>
      </c>
      <c r="AC46" s="223">
        <f>0</f>
        <v>0</v>
      </c>
      <c r="AD46" s="223">
        <f>0</f>
        <v>0</v>
      </c>
      <c r="AE46" s="223">
        <f>0</f>
        <v>0</v>
      </c>
      <c r="AF46" s="223">
        <f>0</f>
        <v>0</v>
      </c>
      <c r="AG46" s="223">
        <f>0</f>
        <v>0</v>
      </c>
      <c r="AH46" s="223">
        <f>0</f>
        <v>0</v>
      </c>
      <c r="AI46" s="223">
        <f>0</f>
        <v>0</v>
      </c>
      <c r="AJ46" s="223">
        <f>0</f>
        <v>0</v>
      </c>
      <c r="AK46" s="223">
        <f>0</f>
        <v>0</v>
      </c>
      <c r="AL46" s="224">
        <f>0</f>
        <v>0</v>
      </c>
      <c r="AM46" s="225"/>
    </row>
    <row r="47" spans="1:39" ht="49.5" customHeight="1" outlineLevel="1">
      <c r="B47" s="216">
        <v>7</v>
      </c>
      <c r="C47" s="217" t="s">
        <v>297</v>
      </c>
      <c r="D47" s="218" t="s">
        <v>297</v>
      </c>
      <c r="E47" s="219">
        <f>0</f>
        <v>0</v>
      </c>
      <c r="F47" s="220">
        <f>0</f>
        <v>0</v>
      </c>
      <c r="G47" s="220">
        <f>0</f>
        <v>0</v>
      </c>
      <c r="H47" s="221">
        <f>0</f>
        <v>0</v>
      </c>
      <c r="I47" s="222">
        <f>0</f>
        <v>0</v>
      </c>
      <c r="J47" s="223">
        <f>0</f>
        <v>0</v>
      </c>
      <c r="K47" s="223">
        <f>0</f>
        <v>0</v>
      </c>
      <c r="L47" s="223">
        <f>0</f>
        <v>0</v>
      </c>
      <c r="M47" s="223">
        <f>0</f>
        <v>0</v>
      </c>
      <c r="N47" s="223">
        <f>0</f>
        <v>0</v>
      </c>
      <c r="O47" s="223">
        <f>0</f>
        <v>0</v>
      </c>
      <c r="P47" s="223">
        <f>0</f>
        <v>0</v>
      </c>
      <c r="Q47" s="223">
        <f>0</f>
        <v>0</v>
      </c>
      <c r="R47" s="223">
        <f>0</f>
        <v>0</v>
      </c>
      <c r="S47" s="223">
        <f>0</f>
        <v>0</v>
      </c>
      <c r="T47" s="223">
        <f>0</f>
        <v>0</v>
      </c>
      <c r="U47" s="223">
        <f>0</f>
        <v>0</v>
      </c>
      <c r="V47" s="223">
        <f>0</f>
        <v>0</v>
      </c>
      <c r="W47" s="223">
        <f>0</f>
        <v>0</v>
      </c>
      <c r="X47" s="223">
        <f>0</f>
        <v>0</v>
      </c>
      <c r="Y47" s="223">
        <f>0</f>
        <v>0</v>
      </c>
      <c r="Z47" s="223">
        <f>0</f>
        <v>0</v>
      </c>
      <c r="AA47" s="223">
        <f>0</f>
        <v>0</v>
      </c>
      <c r="AB47" s="223">
        <f>0</f>
        <v>0</v>
      </c>
      <c r="AC47" s="223">
        <f>0</f>
        <v>0</v>
      </c>
      <c r="AD47" s="223">
        <f>0</f>
        <v>0</v>
      </c>
      <c r="AE47" s="223">
        <f>0</f>
        <v>0</v>
      </c>
      <c r="AF47" s="223">
        <f>0</f>
        <v>0</v>
      </c>
      <c r="AG47" s="223">
        <f>0</f>
        <v>0</v>
      </c>
      <c r="AH47" s="223">
        <f>0</f>
        <v>0</v>
      </c>
      <c r="AI47" s="223">
        <f>0</f>
        <v>0</v>
      </c>
      <c r="AJ47" s="223">
        <f>0</f>
        <v>0</v>
      </c>
      <c r="AK47" s="223">
        <f>0</f>
        <v>0</v>
      </c>
      <c r="AL47" s="224">
        <f>0</f>
        <v>0</v>
      </c>
      <c r="AM47" s="225"/>
    </row>
    <row r="48" spans="1:39" ht="28.5" customHeight="1" outlineLevel="1">
      <c r="B48" s="216">
        <v>8</v>
      </c>
      <c r="C48" s="217" t="s">
        <v>298</v>
      </c>
      <c r="D48" s="218" t="s">
        <v>298</v>
      </c>
      <c r="E48" s="239" t="s">
        <v>204</v>
      </c>
      <c r="F48" s="240" t="s">
        <v>204</v>
      </c>
      <c r="G48" s="240" t="s">
        <v>204</v>
      </c>
      <c r="H48" s="241" t="s">
        <v>204</v>
      </c>
      <c r="I48" s="242" t="s">
        <v>204</v>
      </c>
      <c r="J48" s="243" t="s">
        <v>204</v>
      </c>
      <c r="K48" s="243" t="s">
        <v>204</v>
      </c>
      <c r="L48" s="243" t="s">
        <v>204</v>
      </c>
      <c r="M48" s="243" t="s">
        <v>204</v>
      </c>
      <c r="N48" s="243" t="s">
        <v>204</v>
      </c>
      <c r="O48" s="243" t="s">
        <v>204</v>
      </c>
      <c r="P48" s="243" t="s">
        <v>204</v>
      </c>
      <c r="Q48" s="243" t="s">
        <v>204</v>
      </c>
      <c r="R48" s="243" t="s">
        <v>204</v>
      </c>
      <c r="S48" s="243" t="s">
        <v>204</v>
      </c>
      <c r="T48" s="243" t="s">
        <v>204</v>
      </c>
      <c r="U48" s="243" t="s">
        <v>204</v>
      </c>
      <c r="V48" s="243" t="s">
        <v>204</v>
      </c>
      <c r="W48" s="243" t="s">
        <v>204</v>
      </c>
      <c r="X48" s="243" t="s">
        <v>204</v>
      </c>
      <c r="Y48" s="243" t="s">
        <v>204</v>
      </c>
      <c r="Z48" s="243" t="s">
        <v>204</v>
      </c>
      <c r="AA48" s="243" t="s">
        <v>204</v>
      </c>
      <c r="AB48" s="243" t="s">
        <v>204</v>
      </c>
      <c r="AC48" s="243" t="s">
        <v>204</v>
      </c>
      <c r="AD48" s="243" t="s">
        <v>204</v>
      </c>
      <c r="AE48" s="243" t="s">
        <v>204</v>
      </c>
      <c r="AF48" s="243" t="s">
        <v>204</v>
      </c>
      <c r="AG48" s="243" t="s">
        <v>204</v>
      </c>
      <c r="AH48" s="243" t="s">
        <v>204</v>
      </c>
      <c r="AI48" s="243" t="s">
        <v>204</v>
      </c>
      <c r="AJ48" s="243" t="s">
        <v>204</v>
      </c>
      <c r="AK48" s="243" t="s">
        <v>204</v>
      </c>
      <c r="AL48" s="244" t="s">
        <v>204</v>
      </c>
      <c r="AM48" s="225"/>
    </row>
    <row r="49" spans="1:39" outlineLevel="2">
      <c r="B49" s="226" t="s">
        <v>299</v>
      </c>
      <c r="C49" s="235" t="s">
        <v>300</v>
      </c>
      <c r="D49" s="228" t="s">
        <v>301</v>
      </c>
      <c r="E49" s="229">
        <f>1280803.67</f>
        <v>1280803.67</v>
      </c>
      <c r="F49" s="230">
        <f>1638980.14</f>
        <v>1638980.14</v>
      </c>
      <c r="G49" s="230">
        <f>948815</f>
        <v>948815</v>
      </c>
      <c r="H49" s="231">
        <f>1649640.47</f>
        <v>1649640.47</v>
      </c>
      <c r="I49" s="232">
        <f>2468971</f>
        <v>2468971</v>
      </c>
      <c r="J49" s="233">
        <f>2191739</f>
        <v>2191739</v>
      </c>
      <c r="K49" s="233">
        <f>2691027</f>
        <v>2691027</v>
      </c>
      <c r="L49" s="233">
        <f>3183891</f>
        <v>3183891</v>
      </c>
      <c r="M49" s="233">
        <f>3623410</f>
        <v>3623410</v>
      </c>
      <c r="N49" s="233">
        <f>4310210</f>
        <v>4310210</v>
      </c>
      <c r="O49" s="233">
        <f>4872846</f>
        <v>4872846</v>
      </c>
      <c r="P49" s="233">
        <f>5456562</f>
        <v>5456562</v>
      </c>
      <c r="Q49" s="233">
        <f>6071276</f>
        <v>6071276</v>
      </c>
      <c r="R49" s="233">
        <f>6677603.42</f>
        <v>6677603.4199999999</v>
      </c>
      <c r="S49" s="233">
        <f>0</f>
        <v>0</v>
      </c>
      <c r="T49" s="233">
        <f>0</f>
        <v>0</v>
      </c>
      <c r="U49" s="233">
        <f>0</f>
        <v>0</v>
      </c>
      <c r="V49" s="233">
        <f>0</f>
        <v>0</v>
      </c>
      <c r="W49" s="233">
        <f>0</f>
        <v>0</v>
      </c>
      <c r="X49" s="233">
        <f>0</f>
        <v>0</v>
      </c>
      <c r="Y49" s="233">
        <f>0</f>
        <v>0</v>
      </c>
      <c r="Z49" s="233">
        <f>0</f>
        <v>0</v>
      </c>
      <c r="AA49" s="233">
        <f>0</f>
        <v>0</v>
      </c>
      <c r="AB49" s="233">
        <f>0</f>
        <v>0</v>
      </c>
      <c r="AC49" s="233">
        <f>0</f>
        <v>0</v>
      </c>
      <c r="AD49" s="233">
        <f>0</f>
        <v>0</v>
      </c>
      <c r="AE49" s="233">
        <f>0</f>
        <v>0</v>
      </c>
      <c r="AF49" s="233">
        <f>0</f>
        <v>0</v>
      </c>
      <c r="AG49" s="233">
        <f>0</f>
        <v>0</v>
      </c>
      <c r="AH49" s="233">
        <f>0</f>
        <v>0</v>
      </c>
      <c r="AI49" s="233">
        <f>0</f>
        <v>0</v>
      </c>
      <c r="AJ49" s="233">
        <f>0</f>
        <v>0</v>
      </c>
      <c r="AK49" s="233">
        <f>0</f>
        <v>0</v>
      </c>
      <c r="AL49" s="234">
        <f>0</f>
        <v>0</v>
      </c>
    </row>
    <row r="50" spans="1:39" ht="28.5" customHeight="1" outlineLevel="2">
      <c r="B50" s="226" t="s">
        <v>302</v>
      </c>
      <c r="C50" s="235" t="s">
        <v>303</v>
      </c>
      <c r="D50" s="228" t="s">
        <v>304</v>
      </c>
      <c r="E50" s="229">
        <f>1280803.67</f>
        <v>1280803.67</v>
      </c>
      <c r="F50" s="230">
        <f>2961358.14</f>
        <v>2961358.14</v>
      </c>
      <c r="G50" s="230">
        <f>1607377</f>
        <v>1607377</v>
      </c>
      <c r="H50" s="231">
        <f>2308202.47</f>
        <v>2308202.4700000002</v>
      </c>
      <c r="I50" s="232">
        <f>2468971</f>
        <v>2468971</v>
      </c>
      <c r="J50" s="233">
        <f>2191739</f>
        <v>2191739</v>
      </c>
      <c r="K50" s="233">
        <f>2691027</f>
        <v>2691027</v>
      </c>
      <c r="L50" s="233">
        <f>3183891</f>
        <v>3183891</v>
      </c>
      <c r="M50" s="233">
        <f>3623410</f>
        <v>3623410</v>
      </c>
      <c r="N50" s="233">
        <f>4310210</f>
        <v>4310210</v>
      </c>
      <c r="O50" s="233">
        <f>4872846</f>
        <v>4872846</v>
      </c>
      <c r="P50" s="233">
        <f>5456562</f>
        <v>5456562</v>
      </c>
      <c r="Q50" s="233">
        <f>6071276</f>
        <v>6071276</v>
      </c>
      <c r="R50" s="233">
        <f>6677603.42</f>
        <v>6677603.4199999999</v>
      </c>
      <c r="S50" s="233">
        <f>0</f>
        <v>0</v>
      </c>
      <c r="T50" s="233">
        <f>0</f>
        <v>0</v>
      </c>
      <c r="U50" s="233">
        <f>0</f>
        <v>0</v>
      </c>
      <c r="V50" s="233">
        <f>0</f>
        <v>0</v>
      </c>
      <c r="W50" s="233">
        <f>0</f>
        <v>0</v>
      </c>
      <c r="X50" s="233">
        <f>0</f>
        <v>0</v>
      </c>
      <c r="Y50" s="233">
        <f>0</f>
        <v>0</v>
      </c>
      <c r="Z50" s="233">
        <f>0</f>
        <v>0</v>
      </c>
      <c r="AA50" s="233">
        <f>0</f>
        <v>0</v>
      </c>
      <c r="AB50" s="233">
        <f>0</f>
        <v>0</v>
      </c>
      <c r="AC50" s="233">
        <f>0</f>
        <v>0</v>
      </c>
      <c r="AD50" s="233">
        <f>0</f>
        <v>0</v>
      </c>
      <c r="AE50" s="233">
        <f>0</f>
        <v>0</v>
      </c>
      <c r="AF50" s="233">
        <f>0</f>
        <v>0</v>
      </c>
      <c r="AG50" s="233">
        <f>0</f>
        <v>0</v>
      </c>
      <c r="AH50" s="233">
        <f>0</f>
        <v>0</v>
      </c>
      <c r="AI50" s="233">
        <f>0</f>
        <v>0</v>
      </c>
      <c r="AJ50" s="233">
        <f>0</f>
        <v>0</v>
      </c>
      <c r="AK50" s="233">
        <f>0</f>
        <v>0</v>
      </c>
      <c r="AL50" s="234">
        <f>0</f>
        <v>0</v>
      </c>
    </row>
    <row r="51" spans="1:39" ht="15" outlineLevel="1">
      <c r="A51" s="185" t="s">
        <v>204</v>
      </c>
      <c r="B51" s="216">
        <v>9</v>
      </c>
      <c r="C51" s="217" t="s">
        <v>305</v>
      </c>
      <c r="D51" s="218" t="s">
        <v>305</v>
      </c>
      <c r="E51" s="239" t="s">
        <v>204</v>
      </c>
      <c r="F51" s="240" t="s">
        <v>204</v>
      </c>
      <c r="G51" s="240" t="s">
        <v>204</v>
      </c>
      <c r="H51" s="241" t="s">
        <v>204</v>
      </c>
      <c r="I51" s="242" t="s">
        <v>204</v>
      </c>
      <c r="J51" s="243" t="s">
        <v>204</v>
      </c>
      <c r="K51" s="243" t="s">
        <v>204</v>
      </c>
      <c r="L51" s="243" t="s">
        <v>204</v>
      </c>
      <c r="M51" s="243" t="s">
        <v>204</v>
      </c>
      <c r="N51" s="243" t="s">
        <v>204</v>
      </c>
      <c r="O51" s="243" t="s">
        <v>204</v>
      </c>
      <c r="P51" s="243" t="s">
        <v>204</v>
      </c>
      <c r="Q51" s="243" t="s">
        <v>204</v>
      </c>
      <c r="R51" s="243" t="s">
        <v>204</v>
      </c>
      <c r="S51" s="243" t="s">
        <v>204</v>
      </c>
      <c r="T51" s="243" t="s">
        <v>204</v>
      </c>
      <c r="U51" s="243" t="s">
        <v>204</v>
      </c>
      <c r="V51" s="243" t="s">
        <v>204</v>
      </c>
      <c r="W51" s="243" t="s">
        <v>204</v>
      </c>
      <c r="X51" s="243" t="s">
        <v>204</v>
      </c>
      <c r="Y51" s="243" t="s">
        <v>204</v>
      </c>
      <c r="Z51" s="243" t="s">
        <v>204</v>
      </c>
      <c r="AA51" s="243" t="s">
        <v>204</v>
      </c>
      <c r="AB51" s="243" t="s">
        <v>204</v>
      </c>
      <c r="AC51" s="243" t="s">
        <v>204</v>
      </c>
      <c r="AD51" s="243" t="s">
        <v>204</v>
      </c>
      <c r="AE51" s="243" t="s">
        <v>204</v>
      </c>
      <c r="AF51" s="243" t="s">
        <v>204</v>
      </c>
      <c r="AG51" s="243" t="s">
        <v>204</v>
      </c>
      <c r="AH51" s="243" t="s">
        <v>204</v>
      </c>
      <c r="AI51" s="243" t="s">
        <v>204</v>
      </c>
      <c r="AJ51" s="243" t="s">
        <v>204</v>
      </c>
      <c r="AK51" s="243" t="s">
        <v>204</v>
      </c>
      <c r="AL51" s="244" t="s">
        <v>204</v>
      </c>
      <c r="AM51" s="225"/>
    </row>
    <row r="52" spans="1:39" ht="59.25" customHeight="1" outlineLevel="2">
      <c r="A52" s="185" t="s">
        <v>204</v>
      </c>
      <c r="B52" s="226" t="s">
        <v>306</v>
      </c>
      <c r="C52" s="235" t="s">
        <v>307</v>
      </c>
      <c r="D52" s="228" t="s">
        <v>308</v>
      </c>
      <c r="E52" s="245">
        <f>0.1181</f>
        <v>0.1181</v>
      </c>
      <c r="F52" s="246">
        <f>0.1295</f>
        <v>0.1295</v>
      </c>
      <c r="G52" s="246">
        <f>0.1116</f>
        <v>0.1116</v>
      </c>
      <c r="H52" s="247">
        <f>0.124</f>
        <v>0.124</v>
      </c>
      <c r="I52" s="248">
        <f>0.1204</f>
        <v>0.12039999999999999</v>
      </c>
      <c r="J52" s="249">
        <f>0.126</f>
        <v>0.126</v>
      </c>
      <c r="K52" s="249">
        <f>0.1176</f>
        <v>0.1176</v>
      </c>
      <c r="L52" s="249">
        <f>0.1066</f>
        <v>0.1066</v>
      </c>
      <c r="M52" s="249">
        <f>0.1001</f>
        <v>0.10009999999999999</v>
      </c>
      <c r="N52" s="249">
        <f>0.0907</f>
        <v>9.0700000000000003E-2</v>
      </c>
      <c r="O52" s="249">
        <f>0.0823</f>
        <v>8.2299999999999998E-2</v>
      </c>
      <c r="P52" s="249">
        <f>0.0387</f>
        <v>3.8699999999999998E-2</v>
      </c>
      <c r="Q52" s="249">
        <f>0.0122</f>
        <v>1.2200000000000001E-2</v>
      </c>
      <c r="R52" s="249">
        <f>0.0115</f>
        <v>1.15E-2</v>
      </c>
      <c r="S52" s="249">
        <f>0</f>
        <v>0</v>
      </c>
      <c r="T52" s="249">
        <f>0</f>
        <v>0</v>
      </c>
      <c r="U52" s="249">
        <f>0</f>
        <v>0</v>
      </c>
      <c r="V52" s="249">
        <f>0</f>
        <v>0</v>
      </c>
      <c r="W52" s="249">
        <f>0</f>
        <v>0</v>
      </c>
      <c r="X52" s="249">
        <f>0</f>
        <v>0</v>
      </c>
      <c r="Y52" s="249">
        <f>0</f>
        <v>0</v>
      </c>
      <c r="Z52" s="249">
        <f>0</f>
        <v>0</v>
      </c>
      <c r="AA52" s="249">
        <f>0</f>
        <v>0</v>
      </c>
      <c r="AB52" s="249">
        <f>0</f>
        <v>0</v>
      </c>
      <c r="AC52" s="249">
        <f>0</f>
        <v>0</v>
      </c>
      <c r="AD52" s="249">
        <f>0</f>
        <v>0</v>
      </c>
      <c r="AE52" s="249">
        <f>0</f>
        <v>0</v>
      </c>
      <c r="AF52" s="249">
        <f>0</f>
        <v>0</v>
      </c>
      <c r="AG52" s="249">
        <f>0</f>
        <v>0</v>
      </c>
      <c r="AH52" s="249">
        <f>0</f>
        <v>0</v>
      </c>
      <c r="AI52" s="249">
        <f>0</f>
        <v>0</v>
      </c>
      <c r="AJ52" s="249">
        <f>0</f>
        <v>0</v>
      </c>
      <c r="AK52" s="249">
        <f>0</f>
        <v>0</v>
      </c>
      <c r="AL52" s="250">
        <f>0</f>
        <v>0</v>
      </c>
    </row>
    <row r="53" spans="1:39" ht="61.5" customHeight="1" outlineLevel="2">
      <c r="A53" s="185" t="s">
        <v>204</v>
      </c>
      <c r="B53" s="226" t="s">
        <v>309</v>
      </c>
      <c r="C53" s="235" t="s">
        <v>310</v>
      </c>
      <c r="D53" s="228" t="s">
        <v>311</v>
      </c>
      <c r="E53" s="245">
        <f>0.1095</f>
        <v>0.1095</v>
      </c>
      <c r="F53" s="246">
        <f>0.1097</f>
        <v>0.10970000000000001</v>
      </c>
      <c r="G53" s="246">
        <f>0.0984</f>
        <v>9.8400000000000001E-2</v>
      </c>
      <c r="H53" s="247">
        <f>0.1082</f>
        <v>0.1082</v>
      </c>
      <c r="I53" s="248">
        <f>0.0792</f>
        <v>7.9200000000000007E-2</v>
      </c>
      <c r="J53" s="249">
        <f>0.126</f>
        <v>0.126</v>
      </c>
      <c r="K53" s="249">
        <f>0.1176</f>
        <v>0.1176</v>
      </c>
      <c r="L53" s="249">
        <f>0.1066</f>
        <v>0.1066</v>
      </c>
      <c r="M53" s="249">
        <f>0.1001</f>
        <v>0.10009999999999999</v>
      </c>
      <c r="N53" s="249">
        <f>0.0907</f>
        <v>9.0700000000000003E-2</v>
      </c>
      <c r="O53" s="249">
        <f>0.0823</f>
        <v>8.2299999999999998E-2</v>
      </c>
      <c r="P53" s="249">
        <f>0.0387</f>
        <v>3.8699999999999998E-2</v>
      </c>
      <c r="Q53" s="249">
        <f>0.0122</f>
        <v>1.2200000000000001E-2</v>
      </c>
      <c r="R53" s="249">
        <f>0.0115</f>
        <v>1.15E-2</v>
      </c>
      <c r="S53" s="249">
        <f>0</f>
        <v>0</v>
      </c>
      <c r="T53" s="249">
        <f>0</f>
        <v>0</v>
      </c>
      <c r="U53" s="249">
        <f>0</f>
        <v>0</v>
      </c>
      <c r="V53" s="249">
        <f>0</f>
        <v>0</v>
      </c>
      <c r="W53" s="249">
        <f>0</f>
        <v>0</v>
      </c>
      <c r="X53" s="249">
        <f>0</f>
        <v>0</v>
      </c>
      <c r="Y53" s="249">
        <f>0</f>
        <v>0</v>
      </c>
      <c r="Z53" s="249">
        <f>0</f>
        <v>0</v>
      </c>
      <c r="AA53" s="249">
        <f>0</f>
        <v>0</v>
      </c>
      <c r="AB53" s="249">
        <f>0</f>
        <v>0</v>
      </c>
      <c r="AC53" s="249">
        <f>0</f>
        <v>0</v>
      </c>
      <c r="AD53" s="249">
        <f>0</f>
        <v>0</v>
      </c>
      <c r="AE53" s="249">
        <f>0</f>
        <v>0</v>
      </c>
      <c r="AF53" s="249">
        <f>0</f>
        <v>0</v>
      </c>
      <c r="AG53" s="249">
        <f>0</f>
        <v>0</v>
      </c>
      <c r="AH53" s="249">
        <f>0</f>
        <v>0</v>
      </c>
      <c r="AI53" s="249">
        <f>0</f>
        <v>0</v>
      </c>
      <c r="AJ53" s="249">
        <f>0</f>
        <v>0</v>
      </c>
      <c r="AK53" s="249">
        <f>0</f>
        <v>0</v>
      </c>
      <c r="AL53" s="250">
        <f>0</f>
        <v>0</v>
      </c>
    </row>
    <row r="54" spans="1:39" ht="49.5" customHeight="1" outlineLevel="2">
      <c r="A54" s="185" t="s">
        <v>204</v>
      </c>
      <c r="B54" s="226" t="s">
        <v>312</v>
      </c>
      <c r="C54" s="235" t="s">
        <v>313</v>
      </c>
      <c r="D54" s="228" t="s">
        <v>314</v>
      </c>
      <c r="E54" s="229">
        <f>0</f>
        <v>0</v>
      </c>
      <c r="F54" s="230">
        <f>0</f>
        <v>0</v>
      </c>
      <c r="G54" s="230">
        <f>0</f>
        <v>0</v>
      </c>
      <c r="H54" s="231">
        <f>0</f>
        <v>0</v>
      </c>
      <c r="I54" s="232">
        <f>0</f>
        <v>0</v>
      </c>
      <c r="J54" s="233">
        <f>0</f>
        <v>0</v>
      </c>
      <c r="K54" s="233">
        <f>0</f>
        <v>0</v>
      </c>
      <c r="L54" s="233">
        <f>0</f>
        <v>0</v>
      </c>
      <c r="M54" s="233">
        <f>0</f>
        <v>0</v>
      </c>
      <c r="N54" s="233">
        <f>0</f>
        <v>0</v>
      </c>
      <c r="O54" s="233">
        <f>0</f>
        <v>0</v>
      </c>
      <c r="P54" s="233">
        <f>0</f>
        <v>0</v>
      </c>
      <c r="Q54" s="233">
        <f>0</f>
        <v>0</v>
      </c>
      <c r="R54" s="233">
        <f>0</f>
        <v>0</v>
      </c>
      <c r="S54" s="233">
        <f>0</f>
        <v>0</v>
      </c>
      <c r="T54" s="233">
        <f>0</f>
        <v>0</v>
      </c>
      <c r="U54" s="233">
        <f>0</f>
        <v>0</v>
      </c>
      <c r="V54" s="233">
        <f>0</f>
        <v>0</v>
      </c>
      <c r="W54" s="233">
        <f>0</f>
        <v>0</v>
      </c>
      <c r="X54" s="233">
        <f>0</f>
        <v>0</v>
      </c>
      <c r="Y54" s="233">
        <f>0</f>
        <v>0</v>
      </c>
      <c r="Z54" s="233">
        <f>0</f>
        <v>0</v>
      </c>
      <c r="AA54" s="233">
        <f>0</f>
        <v>0</v>
      </c>
      <c r="AB54" s="233">
        <f>0</f>
        <v>0</v>
      </c>
      <c r="AC54" s="233">
        <f>0</f>
        <v>0</v>
      </c>
      <c r="AD54" s="233">
        <f>0</f>
        <v>0</v>
      </c>
      <c r="AE54" s="233">
        <f>0</f>
        <v>0</v>
      </c>
      <c r="AF54" s="233">
        <f>0</f>
        <v>0</v>
      </c>
      <c r="AG54" s="233">
        <f>0</f>
        <v>0</v>
      </c>
      <c r="AH54" s="233">
        <f>0</f>
        <v>0</v>
      </c>
      <c r="AI54" s="233">
        <f>0</f>
        <v>0</v>
      </c>
      <c r="AJ54" s="233">
        <f>0</f>
        <v>0</v>
      </c>
      <c r="AK54" s="233">
        <f>0</f>
        <v>0</v>
      </c>
      <c r="AL54" s="234">
        <f>0</f>
        <v>0</v>
      </c>
    </row>
    <row r="55" spans="1:39" ht="60.75" customHeight="1" outlineLevel="2">
      <c r="A55" s="185" t="s">
        <v>204</v>
      </c>
      <c r="B55" s="226" t="s">
        <v>315</v>
      </c>
      <c r="C55" s="235" t="s">
        <v>316</v>
      </c>
      <c r="D55" s="228" t="s">
        <v>317</v>
      </c>
      <c r="E55" s="245">
        <f>0.1095</f>
        <v>0.1095</v>
      </c>
      <c r="F55" s="246">
        <f>0.1097</f>
        <v>0.10970000000000001</v>
      </c>
      <c r="G55" s="246">
        <f>0.0984</f>
        <v>9.8400000000000001E-2</v>
      </c>
      <c r="H55" s="247">
        <f>0.1082</f>
        <v>0.1082</v>
      </c>
      <c r="I55" s="248">
        <f>0.0792</f>
        <v>7.9200000000000007E-2</v>
      </c>
      <c r="J55" s="249">
        <f>0.126</f>
        <v>0.126</v>
      </c>
      <c r="K55" s="249">
        <f>0.1176</f>
        <v>0.1176</v>
      </c>
      <c r="L55" s="249">
        <f>0.1066</f>
        <v>0.1066</v>
      </c>
      <c r="M55" s="249">
        <f>0.1001</f>
        <v>0.10009999999999999</v>
      </c>
      <c r="N55" s="249">
        <f>0.0907</f>
        <v>9.0700000000000003E-2</v>
      </c>
      <c r="O55" s="249">
        <f>0.0823</f>
        <v>8.2299999999999998E-2</v>
      </c>
      <c r="P55" s="249">
        <f>0.0387</f>
        <v>3.8699999999999998E-2</v>
      </c>
      <c r="Q55" s="249">
        <f>0.0122</f>
        <v>1.2200000000000001E-2</v>
      </c>
      <c r="R55" s="249">
        <f>0.0115</f>
        <v>1.15E-2</v>
      </c>
      <c r="S55" s="249">
        <f>0</f>
        <v>0</v>
      </c>
      <c r="T55" s="249">
        <f>0</f>
        <v>0</v>
      </c>
      <c r="U55" s="249">
        <f>0</f>
        <v>0</v>
      </c>
      <c r="V55" s="249">
        <f>0</f>
        <v>0</v>
      </c>
      <c r="W55" s="249">
        <f>0</f>
        <v>0</v>
      </c>
      <c r="X55" s="249">
        <f>0</f>
        <v>0</v>
      </c>
      <c r="Y55" s="249">
        <f>0</f>
        <v>0</v>
      </c>
      <c r="Z55" s="249">
        <f>0</f>
        <v>0</v>
      </c>
      <c r="AA55" s="249">
        <f>0</f>
        <v>0</v>
      </c>
      <c r="AB55" s="249">
        <f>0</f>
        <v>0</v>
      </c>
      <c r="AC55" s="249">
        <f>0</f>
        <v>0</v>
      </c>
      <c r="AD55" s="249">
        <f>0</f>
        <v>0</v>
      </c>
      <c r="AE55" s="249">
        <f>0</f>
        <v>0</v>
      </c>
      <c r="AF55" s="249">
        <f>0</f>
        <v>0</v>
      </c>
      <c r="AG55" s="249">
        <f>0</f>
        <v>0</v>
      </c>
      <c r="AH55" s="249">
        <f>0</f>
        <v>0</v>
      </c>
      <c r="AI55" s="249">
        <f>0</f>
        <v>0</v>
      </c>
      <c r="AJ55" s="249">
        <f>0</f>
        <v>0</v>
      </c>
      <c r="AK55" s="249">
        <f>0</f>
        <v>0</v>
      </c>
      <c r="AL55" s="250">
        <f>0</f>
        <v>0</v>
      </c>
    </row>
    <row r="56" spans="1:39" ht="55.5" customHeight="1" outlineLevel="2">
      <c r="A56" s="185" t="s">
        <v>204</v>
      </c>
      <c r="B56" s="251" t="s">
        <v>318</v>
      </c>
      <c r="C56" s="235" t="s">
        <v>319</v>
      </c>
      <c r="D56" s="252" t="s">
        <v>320</v>
      </c>
      <c r="E56" s="245">
        <f t="shared" ref="E56:AL56" si="2">+IF(AND(E7&gt;=2013,E7&lt;=2018),IF(E8&lt;&gt;0,(E9+E17-E20+E23)/E8,0),IF(E8&lt;&gt;0,(E9+E17-E20)/E8,0))</f>
        <v>0.15513222714229147</v>
      </c>
      <c r="F56" s="246">
        <f t="shared" si="2"/>
        <v>9.3449249586776112E-2</v>
      </c>
      <c r="G56" s="246">
        <f t="shared" si="2"/>
        <v>0.12422976296908532</v>
      </c>
      <c r="H56" s="247">
        <f t="shared" si="2"/>
        <v>0.13781055760360936</v>
      </c>
      <c r="I56" s="248">
        <f t="shared" si="2"/>
        <v>0.18295598839108967</v>
      </c>
      <c r="J56" s="249">
        <f t="shared" si="2"/>
        <v>0.16768653821840834</v>
      </c>
      <c r="K56" s="249">
        <f t="shared" si="2"/>
        <v>0.16519391403092981</v>
      </c>
      <c r="L56" s="249">
        <f t="shared" si="2"/>
        <v>0.17271710964621578</v>
      </c>
      <c r="M56" s="249">
        <f t="shared" si="2"/>
        <v>0.1624200412399863</v>
      </c>
      <c r="N56" s="249">
        <f t="shared" si="2"/>
        <v>0.17502751168485212</v>
      </c>
      <c r="O56" s="249">
        <f t="shared" si="2"/>
        <v>0.19282412016713588</v>
      </c>
      <c r="P56" s="249">
        <f t="shared" si="2"/>
        <v>0.19710583363062328</v>
      </c>
      <c r="Q56" s="249">
        <f t="shared" si="2"/>
        <v>0.19974809393346457</v>
      </c>
      <c r="R56" s="249">
        <f t="shared" si="2"/>
        <v>0.20929315335028184</v>
      </c>
      <c r="S56" s="249">
        <f t="shared" si="2"/>
        <v>0</v>
      </c>
      <c r="T56" s="249">
        <f t="shared" si="2"/>
        <v>0</v>
      </c>
      <c r="U56" s="249">
        <f t="shared" si="2"/>
        <v>0</v>
      </c>
      <c r="V56" s="249">
        <f t="shared" si="2"/>
        <v>0</v>
      </c>
      <c r="W56" s="249">
        <f t="shared" si="2"/>
        <v>0</v>
      </c>
      <c r="X56" s="249">
        <f t="shared" si="2"/>
        <v>0</v>
      </c>
      <c r="Y56" s="249">
        <f t="shared" si="2"/>
        <v>0</v>
      </c>
      <c r="Z56" s="249">
        <f t="shared" si="2"/>
        <v>0</v>
      </c>
      <c r="AA56" s="249">
        <f t="shared" si="2"/>
        <v>0</v>
      </c>
      <c r="AB56" s="249">
        <f t="shared" si="2"/>
        <v>0</v>
      </c>
      <c r="AC56" s="249">
        <f t="shared" si="2"/>
        <v>0</v>
      </c>
      <c r="AD56" s="249">
        <f t="shared" si="2"/>
        <v>0</v>
      </c>
      <c r="AE56" s="249">
        <f t="shared" si="2"/>
        <v>0</v>
      </c>
      <c r="AF56" s="249">
        <f t="shared" si="2"/>
        <v>0</v>
      </c>
      <c r="AG56" s="249">
        <f t="shared" si="2"/>
        <v>0</v>
      </c>
      <c r="AH56" s="249">
        <f t="shared" si="2"/>
        <v>0</v>
      </c>
      <c r="AI56" s="249">
        <f t="shared" si="2"/>
        <v>0</v>
      </c>
      <c r="AJ56" s="249">
        <f t="shared" si="2"/>
        <v>0</v>
      </c>
      <c r="AK56" s="249">
        <f t="shared" si="2"/>
        <v>0</v>
      </c>
      <c r="AL56" s="250">
        <f t="shared" si="2"/>
        <v>0</v>
      </c>
    </row>
    <row r="57" spans="1:39" ht="62.25" customHeight="1" outlineLevel="2">
      <c r="A57" s="185" t="s">
        <v>204</v>
      </c>
      <c r="B57" s="226" t="s">
        <v>321</v>
      </c>
      <c r="C57" s="235" t="s">
        <v>322</v>
      </c>
      <c r="D57" s="228" t="s">
        <v>323</v>
      </c>
      <c r="E57" s="239" t="s">
        <v>204</v>
      </c>
      <c r="F57" s="240" t="s">
        <v>204</v>
      </c>
      <c r="G57" s="240" t="s">
        <v>204</v>
      </c>
      <c r="H57" s="241" t="s">
        <v>204</v>
      </c>
      <c r="I57" s="248">
        <f>0.1242</f>
        <v>0.1242</v>
      </c>
      <c r="J57" s="249">
        <f>0.1335</f>
        <v>0.13350000000000001</v>
      </c>
      <c r="K57" s="249">
        <f>0.1583</f>
        <v>0.1583</v>
      </c>
      <c r="L57" s="249">
        <f>0.172</f>
        <v>0.17199999999999999</v>
      </c>
      <c r="M57" s="249">
        <f>0.1685</f>
        <v>0.16850000000000001</v>
      </c>
      <c r="N57" s="249">
        <f>0.1668</f>
        <v>0.1668</v>
      </c>
      <c r="O57" s="249">
        <f>0.17</f>
        <v>0.17</v>
      </c>
      <c r="P57" s="249">
        <f>0.1767</f>
        <v>0.1767</v>
      </c>
      <c r="Q57" s="249">
        <f>0.1883</f>
        <v>0.1883</v>
      </c>
      <c r="R57" s="249">
        <f>0.1965</f>
        <v>0.19650000000000001</v>
      </c>
      <c r="S57" s="249">
        <f>0</f>
        <v>0</v>
      </c>
      <c r="T57" s="249">
        <f>0</f>
        <v>0</v>
      </c>
      <c r="U57" s="249">
        <f>0</f>
        <v>0</v>
      </c>
      <c r="V57" s="249">
        <f>0</f>
        <v>0</v>
      </c>
      <c r="W57" s="249">
        <f>0</f>
        <v>0</v>
      </c>
      <c r="X57" s="249">
        <f>0</f>
        <v>0</v>
      </c>
      <c r="Y57" s="249">
        <f>0</f>
        <v>0</v>
      </c>
      <c r="Z57" s="249">
        <f>0</f>
        <v>0</v>
      </c>
      <c r="AA57" s="249">
        <f>0</f>
        <v>0</v>
      </c>
      <c r="AB57" s="249">
        <f>0</f>
        <v>0</v>
      </c>
      <c r="AC57" s="249">
        <f>0</f>
        <v>0</v>
      </c>
      <c r="AD57" s="249">
        <f>0</f>
        <v>0</v>
      </c>
      <c r="AE57" s="249">
        <f>0</f>
        <v>0</v>
      </c>
      <c r="AF57" s="249">
        <f>0</f>
        <v>0</v>
      </c>
      <c r="AG57" s="249">
        <f>0</f>
        <v>0</v>
      </c>
      <c r="AH57" s="249">
        <f>0</f>
        <v>0</v>
      </c>
      <c r="AI57" s="249">
        <f>0</f>
        <v>0</v>
      </c>
      <c r="AJ57" s="249">
        <f>0</f>
        <v>0</v>
      </c>
      <c r="AK57" s="249">
        <f>0</f>
        <v>0</v>
      </c>
      <c r="AL57" s="250">
        <f>0</f>
        <v>0</v>
      </c>
    </row>
    <row r="58" spans="1:39" ht="62.25" customHeight="1" outlineLevel="3">
      <c r="A58" s="185" t="s">
        <v>204</v>
      </c>
      <c r="B58" s="226" t="s">
        <v>324</v>
      </c>
      <c r="C58" s="235" t="s">
        <v>325</v>
      </c>
      <c r="D58" s="236" t="s">
        <v>326</v>
      </c>
      <c r="E58" s="239" t="s">
        <v>204</v>
      </c>
      <c r="F58" s="240" t="s">
        <v>204</v>
      </c>
      <c r="G58" s="240" t="s">
        <v>204</v>
      </c>
      <c r="H58" s="241" t="s">
        <v>204</v>
      </c>
      <c r="I58" s="248">
        <f>0.1288</f>
        <v>0.1288</v>
      </c>
      <c r="J58" s="249">
        <f>0.1381</f>
        <v>0.1381</v>
      </c>
      <c r="K58" s="249">
        <f>0.1628</f>
        <v>0.1628</v>
      </c>
      <c r="L58" s="249">
        <f>0.172</f>
        <v>0.17199999999999999</v>
      </c>
      <c r="M58" s="249">
        <f>0.1685</f>
        <v>0.16850000000000001</v>
      </c>
      <c r="N58" s="249">
        <f>0.1668</f>
        <v>0.1668</v>
      </c>
      <c r="O58" s="249">
        <f>0.17</f>
        <v>0.17</v>
      </c>
      <c r="P58" s="249">
        <f>0.1767</f>
        <v>0.1767</v>
      </c>
      <c r="Q58" s="249">
        <f>0.1883</f>
        <v>0.1883</v>
      </c>
      <c r="R58" s="249">
        <f>0.1965</f>
        <v>0.19650000000000001</v>
      </c>
      <c r="S58" s="249">
        <f>0</f>
        <v>0</v>
      </c>
      <c r="T58" s="249">
        <f>0</f>
        <v>0</v>
      </c>
      <c r="U58" s="249">
        <f>0</f>
        <v>0</v>
      </c>
      <c r="V58" s="249">
        <f>0</f>
        <v>0</v>
      </c>
      <c r="W58" s="249">
        <f>0</f>
        <v>0</v>
      </c>
      <c r="X58" s="249">
        <f>0</f>
        <v>0</v>
      </c>
      <c r="Y58" s="249">
        <f>0</f>
        <v>0</v>
      </c>
      <c r="Z58" s="249">
        <f>0</f>
        <v>0</v>
      </c>
      <c r="AA58" s="249">
        <f>0</f>
        <v>0</v>
      </c>
      <c r="AB58" s="249">
        <f>0</f>
        <v>0</v>
      </c>
      <c r="AC58" s="249">
        <f>0</f>
        <v>0</v>
      </c>
      <c r="AD58" s="249">
        <f>0</f>
        <v>0</v>
      </c>
      <c r="AE58" s="249">
        <f>0</f>
        <v>0</v>
      </c>
      <c r="AF58" s="249">
        <f>0</f>
        <v>0</v>
      </c>
      <c r="AG58" s="249">
        <f>0</f>
        <v>0</v>
      </c>
      <c r="AH58" s="249">
        <f>0</f>
        <v>0</v>
      </c>
      <c r="AI58" s="249">
        <f>0</f>
        <v>0</v>
      </c>
      <c r="AJ58" s="249">
        <f>0</f>
        <v>0</v>
      </c>
      <c r="AK58" s="249">
        <f>0</f>
        <v>0</v>
      </c>
      <c r="AL58" s="250">
        <f>0</f>
        <v>0</v>
      </c>
    </row>
    <row r="59" spans="1:39" ht="73.5" customHeight="1" outlineLevel="2">
      <c r="A59" s="185" t="s">
        <v>204</v>
      </c>
      <c r="B59" s="226" t="s">
        <v>327</v>
      </c>
      <c r="C59" s="235" t="s">
        <v>328</v>
      </c>
      <c r="D59" s="228" t="s">
        <v>329</v>
      </c>
      <c r="E59" s="239" t="s">
        <v>204</v>
      </c>
      <c r="F59" s="240" t="s">
        <v>204</v>
      </c>
      <c r="G59" s="240" t="s">
        <v>204</v>
      </c>
      <c r="H59" s="241" t="s">
        <v>204</v>
      </c>
      <c r="I59" s="253" t="str">
        <f>IF(I55&lt;=I57,"Spełniona","Nie spełniona")</f>
        <v>Spełniona</v>
      </c>
      <c r="J59" s="254" t="str">
        <f t="shared" ref="J59:AL59" si="3">IF(J55&lt;=J57,"Spełniona","Nie spełniona")</f>
        <v>Spełniona</v>
      </c>
      <c r="K59" s="254" t="str">
        <f t="shared" si="3"/>
        <v>Spełniona</v>
      </c>
      <c r="L59" s="254" t="str">
        <f t="shared" si="3"/>
        <v>Spełniona</v>
      </c>
      <c r="M59" s="254" t="str">
        <f t="shared" si="3"/>
        <v>Spełniona</v>
      </c>
      <c r="N59" s="254" t="str">
        <f t="shared" si="3"/>
        <v>Spełniona</v>
      </c>
      <c r="O59" s="254" t="str">
        <f t="shared" si="3"/>
        <v>Spełniona</v>
      </c>
      <c r="P59" s="254" t="str">
        <f t="shared" si="3"/>
        <v>Spełniona</v>
      </c>
      <c r="Q59" s="254" t="str">
        <f t="shared" si="3"/>
        <v>Spełniona</v>
      </c>
      <c r="R59" s="254" t="str">
        <f t="shared" si="3"/>
        <v>Spełniona</v>
      </c>
      <c r="S59" s="254" t="str">
        <f t="shared" si="3"/>
        <v>Spełniona</v>
      </c>
      <c r="T59" s="254" t="str">
        <f t="shared" si="3"/>
        <v>Spełniona</v>
      </c>
      <c r="U59" s="254" t="str">
        <f t="shared" si="3"/>
        <v>Spełniona</v>
      </c>
      <c r="V59" s="254" t="str">
        <f t="shared" si="3"/>
        <v>Spełniona</v>
      </c>
      <c r="W59" s="254" t="str">
        <f t="shared" si="3"/>
        <v>Spełniona</v>
      </c>
      <c r="X59" s="254" t="str">
        <f t="shared" si="3"/>
        <v>Spełniona</v>
      </c>
      <c r="Y59" s="254" t="str">
        <f t="shared" si="3"/>
        <v>Spełniona</v>
      </c>
      <c r="Z59" s="254" t="str">
        <f t="shared" si="3"/>
        <v>Spełniona</v>
      </c>
      <c r="AA59" s="254" t="str">
        <f t="shared" si="3"/>
        <v>Spełniona</v>
      </c>
      <c r="AB59" s="254" t="str">
        <f t="shared" si="3"/>
        <v>Spełniona</v>
      </c>
      <c r="AC59" s="254" t="str">
        <f t="shared" si="3"/>
        <v>Spełniona</v>
      </c>
      <c r="AD59" s="254" t="str">
        <f t="shared" si="3"/>
        <v>Spełniona</v>
      </c>
      <c r="AE59" s="254" t="str">
        <f t="shared" si="3"/>
        <v>Spełniona</v>
      </c>
      <c r="AF59" s="254" t="str">
        <f t="shared" si="3"/>
        <v>Spełniona</v>
      </c>
      <c r="AG59" s="254" t="str">
        <f t="shared" si="3"/>
        <v>Spełniona</v>
      </c>
      <c r="AH59" s="254" t="str">
        <f t="shared" si="3"/>
        <v>Spełniona</v>
      </c>
      <c r="AI59" s="254" t="str">
        <f t="shared" si="3"/>
        <v>Spełniona</v>
      </c>
      <c r="AJ59" s="254" t="str">
        <f t="shared" si="3"/>
        <v>Spełniona</v>
      </c>
      <c r="AK59" s="254" t="str">
        <f t="shared" si="3"/>
        <v>Spełniona</v>
      </c>
      <c r="AL59" s="255" t="str">
        <f t="shared" si="3"/>
        <v>Spełniona</v>
      </c>
    </row>
    <row r="60" spans="1:39" ht="71.25" customHeight="1" outlineLevel="3">
      <c r="A60" s="185" t="s">
        <v>204</v>
      </c>
      <c r="B60" s="226" t="s">
        <v>330</v>
      </c>
      <c r="C60" s="235" t="s">
        <v>331</v>
      </c>
      <c r="D60" s="236" t="s">
        <v>332</v>
      </c>
      <c r="E60" s="239" t="s">
        <v>204</v>
      </c>
      <c r="F60" s="240" t="s">
        <v>204</v>
      </c>
      <c r="G60" s="240" t="s">
        <v>204</v>
      </c>
      <c r="H60" s="241" t="s">
        <v>204</v>
      </c>
      <c r="I60" s="253" t="str">
        <f>IF(I55&lt;=I58,"Spełniona","Nie spełniona")</f>
        <v>Spełniona</v>
      </c>
      <c r="J60" s="254" t="str">
        <f t="shared" ref="J60:AL60" si="4">IF(J55&lt;=J58,"Spełniona","Nie spełniona")</f>
        <v>Spełniona</v>
      </c>
      <c r="K60" s="254" t="str">
        <f t="shared" si="4"/>
        <v>Spełniona</v>
      </c>
      <c r="L60" s="254" t="str">
        <f t="shared" si="4"/>
        <v>Spełniona</v>
      </c>
      <c r="M60" s="254" t="str">
        <f t="shared" si="4"/>
        <v>Spełniona</v>
      </c>
      <c r="N60" s="254" t="str">
        <f t="shared" si="4"/>
        <v>Spełniona</v>
      </c>
      <c r="O60" s="254" t="str">
        <f t="shared" si="4"/>
        <v>Spełniona</v>
      </c>
      <c r="P60" s="254" t="str">
        <f t="shared" si="4"/>
        <v>Spełniona</v>
      </c>
      <c r="Q60" s="254" t="str">
        <f t="shared" si="4"/>
        <v>Spełniona</v>
      </c>
      <c r="R60" s="254" t="str">
        <f t="shared" si="4"/>
        <v>Spełniona</v>
      </c>
      <c r="S60" s="254" t="str">
        <f t="shared" si="4"/>
        <v>Spełniona</v>
      </c>
      <c r="T60" s="254" t="str">
        <f t="shared" si="4"/>
        <v>Spełniona</v>
      </c>
      <c r="U60" s="254" t="str">
        <f t="shared" si="4"/>
        <v>Spełniona</v>
      </c>
      <c r="V60" s="254" t="str">
        <f t="shared" si="4"/>
        <v>Spełniona</v>
      </c>
      <c r="W60" s="254" t="str">
        <f t="shared" si="4"/>
        <v>Spełniona</v>
      </c>
      <c r="X60" s="254" t="str">
        <f t="shared" si="4"/>
        <v>Spełniona</v>
      </c>
      <c r="Y60" s="254" t="str">
        <f t="shared" si="4"/>
        <v>Spełniona</v>
      </c>
      <c r="Z60" s="254" t="str">
        <f t="shared" si="4"/>
        <v>Spełniona</v>
      </c>
      <c r="AA60" s="254" t="str">
        <f t="shared" si="4"/>
        <v>Spełniona</v>
      </c>
      <c r="AB60" s="254" t="str">
        <f t="shared" si="4"/>
        <v>Spełniona</v>
      </c>
      <c r="AC60" s="254" t="str">
        <f t="shared" si="4"/>
        <v>Spełniona</v>
      </c>
      <c r="AD60" s="254" t="str">
        <f t="shared" si="4"/>
        <v>Spełniona</v>
      </c>
      <c r="AE60" s="254" t="str">
        <f t="shared" si="4"/>
        <v>Spełniona</v>
      </c>
      <c r="AF60" s="254" t="str">
        <f t="shared" si="4"/>
        <v>Spełniona</v>
      </c>
      <c r="AG60" s="254" t="str">
        <f t="shared" si="4"/>
        <v>Spełniona</v>
      </c>
      <c r="AH60" s="254" t="str">
        <f t="shared" si="4"/>
        <v>Spełniona</v>
      </c>
      <c r="AI60" s="254" t="str">
        <f t="shared" si="4"/>
        <v>Spełniona</v>
      </c>
      <c r="AJ60" s="254" t="str">
        <f t="shared" si="4"/>
        <v>Spełniona</v>
      </c>
      <c r="AK60" s="254" t="str">
        <f t="shared" si="4"/>
        <v>Spełniona</v>
      </c>
      <c r="AL60" s="255" t="str">
        <f t="shared" si="4"/>
        <v>Spełniona</v>
      </c>
    </row>
    <row r="61" spans="1:39" ht="24" outlineLevel="1">
      <c r="B61" s="216">
        <v>10</v>
      </c>
      <c r="C61" s="217" t="s">
        <v>333</v>
      </c>
      <c r="D61" s="218" t="s">
        <v>333</v>
      </c>
      <c r="E61" s="219">
        <f>0</f>
        <v>0</v>
      </c>
      <c r="F61" s="220">
        <f>0</f>
        <v>0</v>
      </c>
      <c r="G61" s="220">
        <f>0</f>
        <v>0</v>
      </c>
      <c r="H61" s="221">
        <f>0</f>
        <v>0</v>
      </c>
      <c r="I61" s="222">
        <f>1864521</f>
        <v>1864521</v>
      </c>
      <c r="J61" s="223">
        <f t="shared" ref="J61:N62" si="5">1953410</f>
        <v>1953410</v>
      </c>
      <c r="K61" s="223">
        <f t="shared" si="5"/>
        <v>1953410</v>
      </c>
      <c r="L61" s="223">
        <f t="shared" si="5"/>
        <v>1953410</v>
      </c>
      <c r="M61" s="223">
        <f t="shared" si="5"/>
        <v>1953410</v>
      </c>
      <c r="N61" s="223">
        <f t="shared" si="5"/>
        <v>1953410</v>
      </c>
      <c r="O61" s="223">
        <f>1913410</f>
        <v>1913410</v>
      </c>
      <c r="P61" s="223">
        <f>1010016</f>
        <v>1010016</v>
      </c>
      <c r="Q61" s="223">
        <f>358852</f>
        <v>358852</v>
      </c>
      <c r="R61" s="223">
        <f>358933.42</f>
        <v>358933.42</v>
      </c>
      <c r="S61" s="223">
        <f>0</f>
        <v>0</v>
      </c>
      <c r="T61" s="223">
        <f>0</f>
        <v>0</v>
      </c>
      <c r="U61" s="223">
        <f>0</f>
        <v>0</v>
      </c>
      <c r="V61" s="223">
        <f>0</f>
        <v>0</v>
      </c>
      <c r="W61" s="223">
        <f>0</f>
        <v>0</v>
      </c>
      <c r="X61" s="223">
        <f>0</f>
        <v>0</v>
      </c>
      <c r="Y61" s="223">
        <f>0</f>
        <v>0</v>
      </c>
      <c r="Z61" s="223">
        <f>0</f>
        <v>0</v>
      </c>
      <c r="AA61" s="223">
        <f>0</f>
        <v>0</v>
      </c>
      <c r="AB61" s="223">
        <f>0</f>
        <v>0</v>
      </c>
      <c r="AC61" s="223">
        <f>0</f>
        <v>0</v>
      </c>
      <c r="AD61" s="223">
        <f>0</f>
        <v>0</v>
      </c>
      <c r="AE61" s="223">
        <f>0</f>
        <v>0</v>
      </c>
      <c r="AF61" s="223">
        <f>0</f>
        <v>0</v>
      </c>
      <c r="AG61" s="223">
        <f>0</f>
        <v>0</v>
      </c>
      <c r="AH61" s="223">
        <f>0</f>
        <v>0</v>
      </c>
      <c r="AI61" s="223">
        <f>0</f>
        <v>0</v>
      </c>
      <c r="AJ61" s="223">
        <f>0</f>
        <v>0</v>
      </c>
      <c r="AK61" s="223">
        <f>0</f>
        <v>0</v>
      </c>
      <c r="AL61" s="224">
        <f>0</f>
        <v>0</v>
      </c>
      <c r="AM61" s="225"/>
    </row>
    <row r="62" spans="1:39" outlineLevel="2">
      <c r="B62" s="226" t="s">
        <v>334</v>
      </c>
      <c r="C62" s="235" t="s">
        <v>335</v>
      </c>
      <c r="D62" s="228" t="s">
        <v>336</v>
      </c>
      <c r="E62" s="229">
        <f>0</f>
        <v>0</v>
      </c>
      <c r="F62" s="230">
        <f>0</f>
        <v>0</v>
      </c>
      <c r="G62" s="230">
        <f>413661</f>
        <v>413661</v>
      </c>
      <c r="H62" s="231">
        <f>361034.95</f>
        <v>361034.95</v>
      </c>
      <c r="I62" s="232">
        <f>1864521</f>
        <v>1864521</v>
      </c>
      <c r="J62" s="233">
        <f t="shared" si="5"/>
        <v>1953410</v>
      </c>
      <c r="K62" s="233">
        <f t="shared" si="5"/>
        <v>1953410</v>
      </c>
      <c r="L62" s="233">
        <f t="shared" si="5"/>
        <v>1953410</v>
      </c>
      <c r="M62" s="233">
        <f t="shared" si="5"/>
        <v>1953410</v>
      </c>
      <c r="N62" s="233">
        <f t="shared" si="5"/>
        <v>1953410</v>
      </c>
      <c r="O62" s="233">
        <f>1913410</f>
        <v>1913410</v>
      </c>
      <c r="P62" s="233">
        <f>1010016</f>
        <v>1010016</v>
      </c>
      <c r="Q62" s="233">
        <f>358852</f>
        <v>358852</v>
      </c>
      <c r="R62" s="233">
        <f>358933.42</f>
        <v>358933.42</v>
      </c>
      <c r="S62" s="233">
        <f>0</f>
        <v>0</v>
      </c>
      <c r="T62" s="233">
        <f>0</f>
        <v>0</v>
      </c>
      <c r="U62" s="233">
        <f>0</f>
        <v>0</v>
      </c>
      <c r="V62" s="233">
        <f>0</f>
        <v>0</v>
      </c>
      <c r="W62" s="233">
        <f>0</f>
        <v>0</v>
      </c>
      <c r="X62" s="233">
        <f>0</f>
        <v>0</v>
      </c>
      <c r="Y62" s="233">
        <f>0</f>
        <v>0</v>
      </c>
      <c r="Z62" s="233">
        <f>0</f>
        <v>0</v>
      </c>
      <c r="AA62" s="233">
        <f>0</f>
        <v>0</v>
      </c>
      <c r="AB62" s="233">
        <f>0</f>
        <v>0</v>
      </c>
      <c r="AC62" s="233">
        <f>0</f>
        <v>0</v>
      </c>
      <c r="AD62" s="233">
        <f>0</f>
        <v>0</v>
      </c>
      <c r="AE62" s="233">
        <f>0</f>
        <v>0</v>
      </c>
      <c r="AF62" s="233">
        <f>0</f>
        <v>0</v>
      </c>
      <c r="AG62" s="233">
        <f>0</f>
        <v>0</v>
      </c>
      <c r="AH62" s="233">
        <f>0</f>
        <v>0</v>
      </c>
      <c r="AI62" s="233">
        <f>0</f>
        <v>0</v>
      </c>
      <c r="AJ62" s="233">
        <f>0</f>
        <v>0</v>
      </c>
      <c r="AK62" s="233">
        <f>0</f>
        <v>0</v>
      </c>
      <c r="AL62" s="234">
        <f>0</f>
        <v>0</v>
      </c>
    </row>
    <row r="63" spans="1:39" ht="24" outlineLevel="1">
      <c r="B63" s="216">
        <v>11</v>
      </c>
      <c r="C63" s="217" t="s">
        <v>337</v>
      </c>
      <c r="D63" s="218" t="s">
        <v>337</v>
      </c>
      <c r="E63" s="239" t="s">
        <v>204</v>
      </c>
      <c r="F63" s="240" t="s">
        <v>204</v>
      </c>
      <c r="G63" s="240" t="s">
        <v>204</v>
      </c>
      <c r="H63" s="241" t="s">
        <v>204</v>
      </c>
      <c r="I63" s="242" t="s">
        <v>204</v>
      </c>
      <c r="J63" s="243" t="s">
        <v>204</v>
      </c>
      <c r="K63" s="243" t="s">
        <v>204</v>
      </c>
      <c r="L63" s="243" t="s">
        <v>204</v>
      </c>
      <c r="M63" s="243" t="s">
        <v>204</v>
      </c>
      <c r="N63" s="243" t="s">
        <v>204</v>
      </c>
      <c r="O63" s="243" t="s">
        <v>204</v>
      </c>
      <c r="P63" s="243" t="s">
        <v>204</v>
      </c>
      <c r="Q63" s="243" t="s">
        <v>204</v>
      </c>
      <c r="R63" s="243" t="s">
        <v>204</v>
      </c>
      <c r="S63" s="243" t="s">
        <v>204</v>
      </c>
      <c r="T63" s="243" t="s">
        <v>204</v>
      </c>
      <c r="U63" s="243" t="s">
        <v>204</v>
      </c>
      <c r="V63" s="243" t="s">
        <v>204</v>
      </c>
      <c r="W63" s="243" t="s">
        <v>204</v>
      </c>
      <c r="X63" s="243" t="s">
        <v>204</v>
      </c>
      <c r="Y63" s="243" t="s">
        <v>204</v>
      </c>
      <c r="Z63" s="243" t="s">
        <v>204</v>
      </c>
      <c r="AA63" s="243" t="s">
        <v>204</v>
      </c>
      <c r="AB63" s="243" t="s">
        <v>204</v>
      </c>
      <c r="AC63" s="243" t="s">
        <v>204</v>
      </c>
      <c r="AD63" s="243" t="s">
        <v>204</v>
      </c>
      <c r="AE63" s="243" t="s">
        <v>204</v>
      </c>
      <c r="AF63" s="243" t="s">
        <v>204</v>
      </c>
      <c r="AG63" s="243" t="s">
        <v>204</v>
      </c>
      <c r="AH63" s="243" t="s">
        <v>204</v>
      </c>
      <c r="AI63" s="243" t="s">
        <v>204</v>
      </c>
      <c r="AJ63" s="243" t="s">
        <v>204</v>
      </c>
      <c r="AK63" s="243" t="s">
        <v>204</v>
      </c>
      <c r="AL63" s="244" t="s">
        <v>204</v>
      </c>
      <c r="AM63" s="225"/>
    </row>
    <row r="64" spans="1:39" outlineLevel="2">
      <c r="B64" s="226" t="s">
        <v>338</v>
      </c>
      <c r="C64" s="235" t="s">
        <v>339</v>
      </c>
      <c r="D64" s="228" t="s">
        <v>340</v>
      </c>
      <c r="E64" s="229">
        <f>5888275.54</f>
        <v>5888275.54</v>
      </c>
      <c r="F64" s="230">
        <f>6513898.96</f>
        <v>6513898.96</v>
      </c>
      <c r="G64" s="230">
        <f>6919615.9</f>
        <v>6919615.9000000004</v>
      </c>
      <c r="H64" s="231">
        <f>6622241.09</f>
        <v>6622241.0899999999</v>
      </c>
      <c r="I64" s="232">
        <f>6621316.32</f>
        <v>6621316.3200000003</v>
      </c>
      <c r="J64" s="233">
        <f>6785825</f>
        <v>6785825</v>
      </c>
      <c r="K64" s="233">
        <f>6921542</f>
        <v>6921542</v>
      </c>
      <c r="L64" s="233">
        <f>7059980</f>
        <v>7059980</v>
      </c>
      <c r="M64" s="233">
        <f>0</f>
        <v>0</v>
      </c>
      <c r="N64" s="233">
        <f>0</f>
        <v>0</v>
      </c>
      <c r="O64" s="233">
        <f>0</f>
        <v>0</v>
      </c>
      <c r="P64" s="233">
        <f>0</f>
        <v>0</v>
      </c>
      <c r="Q64" s="233">
        <f>0</f>
        <v>0</v>
      </c>
      <c r="R64" s="233">
        <f>0</f>
        <v>0</v>
      </c>
      <c r="S64" s="233">
        <f>0</f>
        <v>0</v>
      </c>
      <c r="T64" s="233">
        <f>0</f>
        <v>0</v>
      </c>
      <c r="U64" s="233">
        <f>0</f>
        <v>0</v>
      </c>
      <c r="V64" s="233">
        <f>0</f>
        <v>0</v>
      </c>
      <c r="W64" s="233">
        <f>0</f>
        <v>0</v>
      </c>
      <c r="X64" s="233">
        <f>0</f>
        <v>0</v>
      </c>
      <c r="Y64" s="233">
        <f>0</f>
        <v>0</v>
      </c>
      <c r="Z64" s="233">
        <f>0</f>
        <v>0</v>
      </c>
      <c r="AA64" s="233">
        <f>0</f>
        <v>0</v>
      </c>
      <c r="AB64" s="233">
        <f>0</f>
        <v>0</v>
      </c>
      <c r="AC64" s="233">
        <f>0</f>
        <v>0</v>
      </c>
      <c r="AD64" s="233">
        <f>0</f>
        <v>0</v>
      </c>
      <c r="AE64" s="233">
        <f>0</f>
        <v>0</v>
      </c>
      <c r="AF64" s="233">
        <f>0</f>
        <v>0</v>
      </c>
      <c r="AG64" s="233">
        <f>0</f>
        <v>0</v>
      </c>
      <c r="AH64" s="233">
        <f>0</f>
        <v>0</v>
      </c>
      <c r="AI64" s="233">
        <f>0</f>
        <v>0</v>
      </c>
      <c r="AJ64" s="233">
        <f>0</f>
        <v>0</v>
      </c>
      <c r="AK64" s="233">
        <f>0</f>
        <v>0</v>
      </c>
      <c r="AL64" s="234">
        <f>0</f>
        <v>0</v>
      </c>
    </row>
    <row r="65" spans="2:39" ht="24" outlineLevel="2">
      <c r="B65" s="226" t="s">
        <v>341</v>
      </c>
      <c r="C65" s="235" t="s">
        <v>342</v>
      </c>
      <c r="D65" s="228" t="s">
        <v>343</v>
      </c>
      <c r="E65" s="229">
        <f>0</f>
        <v>0</v>
      </c>
      <c r="F65" s="230">
        <f>2731725.76</f>
        <v>2731725.76</v>
      </c>
      <c r="G65" s="230">
        <f>3042710</f>
        <v>3042710</v>
      </c>
      <c r="H65" s="231">
        <f>2810053.93</f>
        <v>2810053.93</v>
      </c>
      <c r="I65" s="232">
        <f>2989341</f>
        <v>2989341</v>
      </c>
      <c r="J65" s="233">
        <f>3093988</f>
        <v>3093988</v>
      </c>
      <c r="K65" s="233">
        <f>3155868</f>
        <v>3155868</v>
      </c>
      <c r="L65" s="233">
        <f>3218985</f>
        <v>3218985</v>
      </c>
      <c r="M65" s="233">
        <f>0</f>
        <v>0</v>
      </c>
      <c r="N65" s="233">
        <f>0</f>
        <v>0</v>
      </c>
      <c r="O65" s="233">
        <f>0</f>
        <v>0</v>
      </c>
      <c r="P65" s="233">
        <f>0</f>
        <v>0</v>
      </c>
      <c r="Q65" s="233">
        <f>0</f>
        <v>0</v>
      </c>
      <c r="R65" s="233">
        <f>0</f>
        <v>0</v>
      </c>
      <c r="S65" s="233">
        <f>0</f>
        <v>0</v>
      </c>
      <c r="T65" s="233">
        <f>0</f>
        <v>0</v>
      </c>
      <c r="U65" s="233">
        <f>0</f>
        <v>0</v>
      </c>
      <c r="V65" s="233">
        <f>0</f>
        <v>0</v>
      </c>
      <c r="W65" s="233">
        <f>0</f>
        <v>0</v>
      </c>
      <c r="X65" s="233">
        <f>0</f>
        <v>0</v>
      </c>
      <c r="Y65" s="233">
        <f>0</f>
        <v>0</v>
      </c>
      <c r="Z65" s="233">
        <f>0</f>
        <v>0</v>
      </c>
      <c r="AA65" s="233">
        <f>0</f>
        <v>0</v>
      </c>
      <c r="AB65" s="233">
        <f>0</f>
        <v>0</v>
      </c>
      <c r="AC65" s="233">
        <f>0</f>
        <v>0</v>
      </c>
      <c r="AD65" s="233">
        <f>0</f>
        <v>0</v>
      </c>
      <c r="AE65" s="233">
        <f>0</f>
        <v>0</v>
      </c>
      <c r="AF65" s="233">
        <f>0</f>
        <v>0</v>
      </c>
      <c r="AG65" s="233">
        <f>0</f>
        <v>0</v>
      </c>
      <c r="AH65" s="233">
        <f>0</f>
        <v>0</v>
      </c>
      <c r="AI65" s="233">
        <f>0</f>
        <v>0</v>
      </c>
      <c r="AJ65" s="233">
        <f>0</f>
        <v>0</v>
      </c>
      <c r="AK65" s="233">
        <f>0</f>
        <v>0</v>
      </c>
      <c r="AL65" s="234">
        <f>0</f>
        <v>0</v>
      </c>
    </row>
    <row r="66" spans="2:39" ht="24" outlineLevel="2">
      <c r="B66" s="226" t="s">
        <v>344</v>
      </c>
      <c r="C66" s="235" t="s">
        <v>345</v>
      </c>
      <c r="D66" s="228" t="s">
        <v>346</v>
      </c>
      <c r="E66" s="229">
        <f>4142109.59</f>
        <v>4142109.59</v>
      </c>
      <c r="F66" s="230">
        <f>0</f>
        <v>0</v>
      </c>
      <c r="G66" s="230">
        <f>3272400</f>
        <v>3272400</v>
      </c>
      <c r="H66" s="231">
        <f>0</f>
        <v>0</v>
      </c>
      <c r="I66" s="232">
        <f>2958231</f>
        <v>2958231</v>
      </c>
      <c r="J66" s="233">
        <f>2266756</f>
        <v>2266756</v>
      </c>
      <c r="K66" s="233">
        <f>2456617</f>
        <v>2456617</v>
      </c>
      <c r="L66" s="233">
        <f>3299481</f>
        <v>3299481</v>
      </c>
      <c r="M66" s="233">
        <f>2994000</f>
        <v>2994000</v>
      </c>
      <c r="N66" s="233">
        <f>3607800</f>
        <v>3607800</v>
      </c>
      <c r="O66" s="233">
        <f>3100500</f>
        <v>3100500</v>
      </c>
      <c r="P66" s="233">
        <f>6151000</f>
        <v>6151000</v>
      </c>
      <c r="Q66" s="233">
        <f>9177000</f>
        <v>9177000</v>
      </c>
      <c r="R66" s="233">
        <f>9827000</f>
        <v>9827000</v>
      </c>
      <c r="S66" s="233">
        <f>0</f>
        <v>0</v>
      </c>
      <c r="T66" s="233">
        <f>0</f>
        <v>0</v>
      </c>
      <c r="U66" s="233">
        <f>0</f>
        <v>0</v>
      </c>
      <c r="V66" s="233">
        <f>0</f>
        <v>0</v>
      </c>
      <c r="W66" s="233">
        <f>0</f>
        <v>0</v>
      </c>
      <c r="X66" s="233">
        <f>0</f>
        <v>0</v>
      </c>
      <c r="Y66" s="233">
        <f>0</f>
        <v>0</v>
      </c>
      <c r="Z66" s="233">
        <f>0</f>
        <v>0</v>
      </c>
      <c r="AA66" s="233">
        <f>0</f>
        <v>0</v>
      </c>
      <c r="AB66" s="233">
        <f>0</f>
        <v>0</v>
      </c>
      <c r="AC66" s="233">
        <f>0</f>
        <v>0</v>
      </c>
      <c r="AD66" s="233">
        <f>0</f>
        <v>0</v>
      </c>
      <c r="AE66" s="233">
        <f>0</f>
        <v>0</v>
      </c>
      <c r="AF66" s="233">
        <f>0</f>
        <v>0</v>
      </c>
      <c r="AG66" s="233">
        <f>0</f>
        <v>0</v>
      </c>
      <c r="AH66" s="233">
        <f>0</f>
        <v>0</v>
      </c>
      <c r="AI66" s="233">
        <f>0</f>
        <v>0</v>
      </c>
      <c r="AJ66" s="233">
        <f>0</f>
        <v>0</v>
      </c>
      <c r="AK66" s="233">
        <f>0</f>
        <v>0</v>
      </c>
      <c r="AL66" s="234">
        <f>0</f>
        <v>0</v>
      </c>
    </row>
    <row r="67" spans="2:39" outlineLevel="3">
      <c r="B67" s="226" t="s">
        <v>347</v>
      </c>
      <c r="C67" s="235" t="s">
        <v>348</v>
      </c>
      <c r="D67" s="236" t="s">
        <v>349</v>
      </c>
      <c r="E67" s="229">
        <f>129064</f>
        <v>129064</v>
      </c>
      <c r="F67" s="230">
        <f>0</f>
        <v>0</v>
      </c>
      <c r="G67" s="230">
        <f>648376</f>
        <v>648376</v>
      </c>
      <c r="H67" s="231">
        <f>0</f>
        <v>0</v>
      </c>
      <c r="I67" s="232">
        <f>620295</f>
        <v>620295</v>
      </c>
      <c r="J67" s="233">
        <f>357212</f>
        <v>357212</v>
      </c>
      <c r="K67" s="233">
        <f>249000</f>
        <v>249000</v>
      </c>
      <c r="L67" s="233">
        <f>249000</f>
        <v>249000</v>
      </c>
      <c r="M67" s="233">
        <f>199000</f>
        <v>199000</v>
      </c>
      <c r="N67" s="233">
        <f>101000</f>
        <v>101000</v>
      </c>
      <c r="O67" s="233">
        <f>41000</f>
        <v>41000</v>
      </c>
      <c r="P67" s="233">
        <f>17000</f>
        <v>17000</v>
      </c>
      <c r="Q67" s="233">
        <f>17000</f>
        <v>17000</v>
      </c>
      <c r="R67" s="233">
        <f>17000</f>
        <v>17000</v>
      </c>
      <c r="S67" s="233">
        <f>0</f>
        <v>0</v>
      </c>
      <c r="T67" s="233">
        <f>0</f>
        <v>0</v>
      </c>
      <c r="U67" s="233">
        <f>0</f>
        <v>0</v>
      </c>
      <c r="V67" s="233">
        <f>0</f>
        <v>0</v>
      </c>
      <c r="W67" s="233">
        <f>0</f>
        <v>0</v>
      </c>
      <c r="X67" s="233">
        <f>0</f>
        <v>0</v>
      </c>
      <c r="Y67" s="233">
        <f>0</f>
        <v>0</v>
      </c>
      <c r="Z67" s="233">
        <f>0</f>
        <v>0</v>
      </c>
      <c r="AA67" s="233">
        <f>0</f>
        <v>0</v>
      </c>
      <c r="AB67" s="233">
        <f>0</f>
        <v>0</v>
      </c>
      <c r="AC67" s="233">
        <f>0</f>
        <v>0</v>
      </c>
      <c r="AD67" s="233">
        <f>0</f>
        <v>0</v>
      </c>
      <c r="AE67" s="233">
        <f>0</f>
        <v>0</v>
      </c>
      <c r="AF67" s="233">
        <f>0</f>
        <v>0</v>
      </c>
      <c r="AG67" s="233">
        <f>0</f>
        <v>0</v>
      </c>
      <c r="AH67" s="233">
        <f>0</f>
        <v>0</v>
      </c>
      <c r="AI67" s="233">
        <f>0</f>
        <v>0</v>
      </c>
      <c r="AJ67" s="233">
        <f>0</f>
        <v>0</v>
      </c>
      <c r="AK67" s="233">
        <f>0</f>
        <v>0</v>
      </c>
      <c r="AL67" s="234">
        <f>0</f>
        <v>0</v>
      </c>
    </row>
    <row r="68" spans="2:39" outlineLevel="3">
      <c r="B68" s="226" t="s">
        <v>350</v>
      </c>
      <c r="C68" s="235" t="s">
        <v>351</v>
      </c>
      <c r="D68" s="236" t="s">
        <v>352</v>
      </c>
      <c r="E68" s="229">
        <f>4013045.59</f>
        <v>4013045.59</v>
      </c>
      <c r="F68" s="230">
        <f>0</f>
        <v>0</v>
      </c>
      <c r="G68" s="230">
        <f>2624024</f>
        <v>2624024</v>
      </c>
      <c r="H68" s="231">
        <f>0</f>
        <v>0</v>
      </c>
      <c r="I68" s="232">
        <f>2337936</f>
        <v>2337936</v>
      </c>
      <c r="J68" s="233">
        <f>1909544</f>
        <v>1909544</v>
      </c>
      <c r="K68" s="233">
        <f>2207617</f>
        <v>2207617</v>
      </c>
      <c r="L68" s="233">
        <f>3050481</f>
        <v>3050481</v>
      </c>
      <c r="M68" s="233">
        <f>2795000</f>
        <v>2795000</v>
      </c>
      <c r="N68" s="233">
        <f>3506800</f>
        <v>3506800</v>
      </c>
      <c r="O68" s="233">
        <f>3059500</f>
        <v>3059500</v>
      </c>
      <c r="P68" s="233">
        <f>6134000</f>
        <v>6134000</v>
      </c>
      <c r="Q68" s="233">
        <f>9160000</f>
        <v>9160000</v>
      </c>
      <c r="R68" s="233">
        <f>9810000</f>
        <v>9810000</v>
      </c>
      <c r="S68" s="233">
        <f>0</f>
        <v>0</v>
      </c>
      <c r="T68" s="233">
        <f>0</f>
        <v>0</v>
      </c>
      <c r="U68" s="233">
        <f>0</f>
        <v>0</v>
      </c>
      <c r="V68" s="233">
        <f>0</f>
        <v>0</v>
      </c>
      <c r="W68" s="233">
        <f>0</f>
        <v>0</v>
      </c>
      <c r="X68" s="233">
        <f>0</f>
        <v>0</v>
      </c>
      <c r="Y68" s="233">
        <f>0</f>
        <v>0</v>
      </c>
      <c r="Z68" s="233">
        <f>0</f>
        <v>0</v>
      </c>
      <c r="AA68" s="233">
        <f>0</f>
        <v>0</v>
      </c>
      <c r="AB68" s="233">
        <f>0</f>
        <v>0</v>
      </c>
      <c r="AC68" s="233">
        <f>0</f>
        <v>0</v>
      </c>
      <c r="AD68" s="233">
        <f>0</f>
        <v>0</v>
      </c>
      <c r="AE68" s="233">
        <f>0</f>
        <v>0</v>
      </c>
      <c r="AF68" s="233">
        <f>0</f>
        <v>0</v>
      </c>
      <c r="AG68" s="233">
        <f>0</f>
        <v>0</v>
      </c>
      <c r="AH68" s="233">
        <f>0</f>
        <v>0</v>
      </c>
      <c r="AI68" s="233">
        <f>0</f>
        <v>0</v>
      </c>
      <c r="AJ68" s="233">
        <f>0</f>
        <v>0</v>
      </c>
      <c r="AK68" s="233">
        <f>0</f>
        <v>0</v>
      </c>
      <c r="AL68" s="234">
        <f>0</f>
        <v>0</v>
      </c>
    </row>
    <row r="69" spans="2:39" outlineLevel="2">
      <c r="B69" s="226" t="s">
        <v>353</v>
      </c>
      <c r="C69" s="235" t="s">
        <v>354</v>
      </c>
      <c r="D69" s="228" t="s">
        <v>355</v>
      </c>
      <c r="E69" s="229">
        <f>0</f>
        <v>0</v>
      </c>
      <c r="F69" s="230">
        <f>0</f>
        <v>0</v>
      </c>
      <c r="G69" s="230">
        <f>969733</f>
        <v>969733</v>
      </c>
      <c r="H69" s="231">
        <f>0</f>
        <v>0</v>
      </c>
      <c r="I69" s="232">
        <f>2297936</f>
        <v>2297936</v>
      </c>
      <c r="J69" s="233">
        <f>1174544</f>
        <v>1174544</v>
      </c>
      <c r="K69" s="233">
        <f>1757617</f>
        <v>1757617</v>
      </c>
      <c r="L69" s="233">
        <f>2420481</f>
        <v>2420481</v>
      </c>
      <c r="M69" s="233">
        <f>0</f>
        <v>0</v>
      </c>
      <c r="N69" s="233">
        <f>0</f>
        <v>0</v>
      </c>
      <c r="O69" s="233">
        <f>0</f>
        <v>0</v>
      </c>
      <c r="P69" s="233">
        <f>0</f>
        <v>0</v>
      </c>
      <c r="Q69" s="233">
        <f>0</f>
        <v>0</v>
      </c>
      <c r="R69" s="233">
        <f>0</f>
        <v>0</v>
      </c>
      <c r="S69" s="233">
        <f>0</f>
        <v>0</v>
      </c>
      <c r="T69" s="233">
        <f>0</f>
        <v>0</v>
      </c>
      <c r="U69" s="233">
        <f>0</f>
        <v>0</v>
      </c>
      <c r="V69" s="233">
        <f>0</f>
        <v>0</v>
      </c>
      <c r="W69" s="233">
        <f>0</f>
        <v>0</v>
      </c>
      <c r="X69" s="233">
        <f>0</f>
        <v>0</v>
      </c>
      <c r="Y69" s="233">
        <f>0</f>
        <v>0</v>
      </c>
      <c r="Z69" s="233">
        <f>0</f>
        <v>0</v>
      </c>
      <c r="AA69" s="233">
        <f>0</f>
        <v>0</v>
      </c>
      <c r="AB69" s="233">
        <f>0</f>
        <v>0</v>
      </c>
      <c r="AC69" s="233">
        <f>0</f>
        <v>0</v>
      </c>
      <c r="AD69" s="233">
        <f>0</f>
        <v>0</v>
      </c>
      <c r="AE69" s="233">
        <f>0</f>
        <v>0</v>
      </c>
      <c r="AF69" s="233">
        <f>0</f>
        <v>0</v>
      </c>
      <c r="AG69" s="233">
        <f>0</f>
        <v>0</v>
      </c>
      <c r="AH69" s="233">
        <f>0</f>
        <v>0</v>
      </c>
      <c r="AI69" s="233">
        <f>0</f>
        <v>0</v>
      </c>
      <c r="AJ69" s="233">
        <f>0</f>
        <v>0</v>
      </c>
      <c r="AK69" s="233">
        <f>0</f>
        <v>0</v>
      </c>
      <c r="AL69" s="234">
        <f>0</f>
        <v>0</v>
      </c>
    </row>
    <row r="70" spans="2:39" outlineLevel="2">
      <c r="B70" s="226" t="s">
        <v>356</v>
      </c>
      <c r="C70" s="235" t="s">
        <v>357</v>
      </c>
      <c r="D70" s="228" t="s">
        <v>358</v>
      </c>
      <c r="E70" s="229">
        <f>0</f>
        <v>0</v>
      </c>
      <c r="F70" s="230">
        <f>0</f>
        <v>0</v>
      </c>
      <c r="G70" s="230">
        <f>1654291</f>
        <v>1654291</v>
      </c>
      <c r="H70" s="231">
        <f>0</f>
        <v>0</v>
      </c>
      <c r="I70" s="232">
        <f>40000</f>
        <v>40000</v>
      </c>
      <c r="J70" s="233">
        <f>735000</f>
        <v>735000</v>
      </c>
      <c r="K70" s="233">
        <f>450000</f>
        <v>450000</v>
      </c>
      <c r="L70" s="233">
        <f>710000</f>
        <v>710000</v>
      </c>
      <c r="M70" s="233">
        <f>0</f>
        <v>0</v>
      </c>
      <c r="N70" s="233">
        <f>0</f>
        <v>0</v>
      </c>
      <c r="O70" s="233">
        <f>0</f>
        <v>0</v>
      </c>
      <c r="P70" s="233">
        <f>0</f>
        <v>0</v>
      </c>
      <c r="Q70" s="233">
        <f>0</f>
        <v>0</v>
      </c>
      <c r="R70" s="233">
        <f>0</f>
        <v>0</v>
      </c>
      <c r="S70" s="233">
        <f>0</f>
        <v>0</v>
      </c>
      <c r="T70" s="233">
        <f>0</f>
        <v>0</v>
      </c>
      <c r="U70" s="233">
        <f>0</f>
        <v>0</v>
      </c>
      <c r="V70" s="233">
        <f>0</f>
        <v>0</v>
      </c>
      <c r="W70" s="233">
        <f>0</f>
        <v>0</v>
      </c>
      <c r="X70" s="233">
        <f>0</f>
        <v>0</v>
      </c>
      <c r="Y70" s="233">
        <f>0</f>
        <v>0</v>
      </c>
      <c r="Z70" s="233">
        <f>0</f>
        <v>0</v>
      </c>
      <c r="AA70" s="233">
        <f>0</f>
        <v>0</v>
      </c>
      <c r="AB70" s="233">
        <f>0</f>
        <v>0</v>
      </c>
      <c r="AC70" s="233">
        <f>0</f>
        <v>0</v>
      </c>
      <c r="AD70" s="233">
        <f>0</f>
        <v>0</v>
      </c>
      <c r="AE70" s="233">
        <f>0</f>
        <v>0</v>
      </c>
      <c r="AF70" s="233">
        <f>0</f>
        <v>0</v>
      </c>
      <c r="AG70" s="233">
        <f>0</f>
        <v>0</v>
      </c>
      <c r="AH70" s="233">
        <f>0</f>
        <v>0</v>
      </c>
      <c r="AI70" s="233">
        <f>0</f>
        <v>0</v>
      </c>
      <c r="AJ70" s="233">
        <f>0</f>
        <v>0</v>
      </c>
      <c r="AK70" s="233">
        <f>0</f>
        <v>0</v>
      </c>
      <c r="AL70" s="234">
        <f>0</f>
        <v>0</v>
      </c>
    </row>
    <row r="71" spans="2:39" outlineLevel="2">
      <c r="B71" s="226" t="s">
        <v>359</v>
      </c>
      <c r="C71" s="235" t="s">
        <v>360</v>
      </c>
      <c r="D71" s="228" t="s">
        <v>361</v>
      </c>
      <c r="E71" s="229">
        <f>0</f>
        <v>0</v>
      </c>
      <c r="F71" s="230">
        <f>0</f>
        <v>0</v>
      </c>
      <c r="G71" s="230">
        <f>0</f>
        <v>0</v>
      </c>
      <c r="H71" s="231">
        <f>50000</f>
        <v>50000</v>
      </c>
      <c r="I71" s="232">
        <f>15000</f>
        <v>15000</v>
      </c>
      <c r="J71" s="233">
        <f>0</f>
        <v>0</v>
      </c>
      <c r="K71" s="233">
        <f>0</f>
        <v>0</v>
      </c>
      <c r="L71" s="233">
        <f>0</f>
        <v>0</v>
      </c>
      <c r="M71" s="233">
        <f>0</f>
        <v>0</v>
      </c>
      <c r="N71" s="233">
        <f>0</f>
        <v>0</v>
      </c>
      <c r="O71" s="233">
        <f>0</f>
        <v>0</v>
      </c>
      <c r="P71" s="233">
        <f>0</f>
        <v>0</v>
      </c>
      <c r="Q71" s="233">
        <f>0</f>
        <v>0</v>
      </c>
      <c r="R71" s="233">
        <f>0</f>
        <v>0</v>
      </c>
      <c r="S71" s="233">
        <f>0</f>
        <v>0</v>
      </c>
      <c r="T71" s="233">
        <f>0</f>
        <v>0</v>
      </c>
      <c r="U71" s="233">
        <f>0</f>
        <v>0</v>
      </c>
      <c r="V71" s="233">
        <f>0</f>
        <v>0</v>
      </c>
      <c r="W71" s="233">
        <f>0</f>
        <v>0</v>
      </c>
      <c r="X71" s="233">
        <f>0</f>
        <v>0</v>
      </c>
      <c r="Y71" s="233">
        <f>0</f>
        <v>0</v>
      </c>
      <c r="Z71" s="233">
        <f>0</f>
        <v>0</v>
      </c>
      <c r="AA71" s="233">
        <f>0</f>
        <v>0</v>
      </c>
      <c r="AB71" s="233">
        <f>0</f>
        <v>0</v>
      </c>
      <c r="AC71" s="233">
        <f>0</f>
        <v>0</v>
      </c>
      <c r="AD71" s="233">
        <f>0</f>
        <v>0</v>
      </c>
      <c r="AE71" s="233">
        <f>0</f>
        <v>0</v>
      </c>
      <c r="AF71" s="233">
        <f>0</f>
        <v>0</v>
      </c>
      <c r="AG71" s="233">
        <f>0</f>
        <v>0</v>
      </c>
      <c r="AH71" s="233">
        <f>0</f>
        <v>0</v>
      </c>
      <c r="AI71" s="233">
        <f>0</f>
        <v>0</v>
      </c>
      <c r="AJ71" s="233">
        <f>0</f>
        <v>0</v>
      </c>
      <c r="AK71" s="233">
        <f>0</f>
        <v>0</v>
      </c>
      <c r="AL71" s="234">
        <f>0</f>
        <v>0</v>
      </c>
    </row>
    <row r="72" spans="2:39" ht="38.25" customHeight="1" outlineLevel="1">
      <c r="B72" s="216">
        <v>12</v>
      </c>
      <c r="C72" s="217" t="s">
        <v>362</v>
      </c>
      <c r="D72" s="218" t="s">
        <v>362</v>
      </c>
      <c r="E72" s="239" t="s">
        <v>204</v>
      </c>
      <c r="F72" s="240" t="s">
        <v>204</v>
      </c>
      <c r="G72" s="240" t="s">
        <v>204</v>
      </c>
      <c r="H72" s="241" t="s">
        <v>204</v>
      </c>
      <c r="I72" s="242" t="s">
        <v>204</v>
      </c>
      <c r="J72" s="243" t="s">
        <v>204</v>
      </c>
      <c r="K72" s="243" t="s">
        <v>204</v>
      </c>
      <c r="L72" s="243" t="s">
        <v>204</v>
      </c>
      <c r="M72" s="243" t="s">
        <v>204</v>
      </c>
      <c r="N72" s="243" t="s">
        <v>204</v>
      </c>
      <c r="O72" s="243" t="s">
        <v>204</v>
      </c>
      <c r="P72" s="243" t="s">
        <v>204</v>
      </c>
      <c r="Q72" s="243" t="s">
        <v>204</v>
      </c>
      <c r="R72" s="243" t="s">
        <v>204</v>
      </c>
      <c r="S72" s="243" t="s">
        <v>204</v>
      </c>
      <c r="T72" s="243" t="s">
        <v>204</v>
      </c>
      <c r="U72" s="243" t="s">
        <v>204</v>
      </c>
      <c r="V72" s="243" t="s">
        <v>204</v>
      </c>
      <c r="W72" s="243" t="s">
        <v>204</v>
      </c>
      <c r="X72" s="243" t="s">
        <v>204</v>
      </c>
      <c r="Y72" s="243" t="s">
        <v>204</v>
      </c>
      <c r="Z72" s="243" t="s">
        <v>204</v>
      </c>
      <c r="AA72" s="243" t="s">
        <v>204</v>
      </c>
      <c r="AB72" s="243" t="s">
        <v>204</v>
      </c>
      <c r="AC72" s="243" t="s">
        <v>204</v>
      </c>
      <c r="AD72" s="243" t="s">
        <v>204</v>
      </c>
      <c r="AE72" s="243" t="s">
        <v>204</v>
      </c>
      <c r="AF72" s="243" t="s">
        <v>204</v>
      </c>
      <c r="AG72" s="243" t="s">
        <v>204</v>
      </c>
      <c r="AH72" s="243" t="s">
        <v>204</v>
      </c>
      <c r="AI72" s="243" t="s">
        <v>204</v>
      </c>
      <c r="AJ72" s="243" t="s">
        <v>204</v>
      </c>
      <c r="AK72" s="243" t="s">
        <v>204</v>
      </c>
      <c r="AL72" s="244" t="s">
        <v>204</v>
      </c>
      <c r="AM72" s="225"/>
    </row>
    <row r="73" spans="2:39" ht="34.5" customHeight="1" outlineLevel="2">
      <c r="B73" s="226" t="s">
        <v>363</v>
      </c>
      <c r="C73" s="235" t="s">
        <v>364</v>
      </c>
      <c r="D73" s="228" t="s">
        <v>365</v>
      </c>
      <c r="E73" s="229">
        <f>112228.46</f>
        <v>112228.46</v>
      </c>
      <c r="F73" s="230">
        <f>518036.87</f>
        <v>518036.87</v>
      </c>
      <c r="G73" s="230">
        <f>743864.46</f>
        <v>743864.46</v>
      </c>
      <c r="H73" s="231">
        <f>667765.52</f>
        <v>667765.52</v>
      </c>
      <c r="I73" s="232">
        <f>604116</f>
        <v>604116</v>
      </c>
      <c r="J73" s="233">
        <f>213580</f>
        <v>213580</v>
      </c>
      <c r="K73" s="233">
        <f>47000</f>
        <v>47000</v>
      </c>
      <c r="L73" s="233">
        <f>47000</f>
        <v>47000</v>
      </c>
      <c r="M73" s="233">
        <f>0</f>
        <v>0</v>
      </c>
      <c r="N73" s="233">
        <f>0</f>
        <v>0</v>
      </c>
      <c r="O73" s="233">
        <f>0</f>
        <v>0</v>
      </c>
      <c r="P73" s="233">
        <f>0</f>
        <v>0</v>
      </c>
      <c r="Q73" s="233">
        <f>0</f>
        <v>0</v>
      </c>
      <c r="R73" s="233">
        <f>0</f>
        <v>0</v>
      </c>
      <c r="S73" s="233">
        <f>0</f>
        <v>0</v>
      </c>
      <c r="T73" s="233">
        <f>0</f>
        <v>0</v>
      </c>
      <c r="U73" s="233">
        <f>0</f>
        <v>0</v>
      </c>
      <c r="V73" s="233">
        <f>0</f>
        <v>0</v>
      </c>
      <c r="W73" s="233">
        <f>0</f>
        <v>0</v>
      </c>
      <c r="X73" s="233">
        <f>0</f>
        <v>0</v>
      </c>
      <c r="Y73" s="233">
        <f>0</f>
        <v>0</v>
      </c>
      <c r="Z73" s="233">
        <f>0</f>
        <v>0</v>
      </c>
      <c r="AA73" s="233">
        <f>0</f>
        <v>0</v>
      </c>
      <c r="AB73" s="233">
        <f>0</f>
        <v>0</v>
      </c>
      <c r="AC73" s="233">
        <f>0</f>
        <v>0</v>
      </c>
      <c r="AD73" s="233">
        <f>0</f>
        <v>0</v>
      </c>
      <c r="AE73" s="233">
        <f>0</f>
        <v>0</v>
      </c>
      <c r="AF73" s="233">
        <f>0</f>
        <v>0</v>
      </c>
      <c r="AG73" s="233">
        <f>0</f>
        <v>0</v>
      </c>
      <c r="AH73" s="233">
        <f>0</f>
        <v>0</v>
      </c>
      <c r="AI73" s="233">
        <f>0</f>
        <v>0</v>
      </c>
      <c r="AJ73" s="233">
        <f>0</f>
        <v>0</v>
      </c>
      <c r="AK73" s="233">
        <f>0</f>
        <v>0</v>
      </c>
      <c r="AL73" s="234">
        <f>0</f>
        <v>0</v>
      </c>
    </row>
    <row r="74" spans="2:39" outlineLevel="3">
      <c r="B74" s="226" t="s">
        <v>366</v>
      </c>
      <c r="C74" s="235" t="s">
        <v>367</v>
      </c>
      <c r="D74" s="256" t="s">
        <v>368</v>
      </c>
      <c r="E74" s="229">
        <f>112228.46</f>
        <v>112228.46</v>
      </c>
      <c r="F74" s="230">
        <f>518036.87</f>
        <v>518036.87</v>
      </c>
      <c r="G74" s="230">
        <f>519567.25</f>
        <v>519567.25</v>
      </c>
      <c r="H74" s="231">
        <f>595918.33</f>
        <v>595918.32999999996</v>
      </c>
      <c r="I74" s="232">
        <f>542599</f>
        <v>542599</v>
      </c>
      <c r="J74" s="233">
        <f>193130</f>
        <v>193130</v>
      </c>
      <c r="K74" s="233">
        <f>42500</f>
        <v>42500</v>
      </c>
      <c r="L74" s="233">
        <f>42500</f>
        <v>42500</v>
      </c>
      <c r="M74" s="233">
        <f>0</f>
        <v>0</v>
      </c>
      <c r="N74" s="233">
        <f>0</f>
        <v>0</v>
      </c>
      <c r="O74" s="233">
        <f>0</f>
        <v>0</v>
      </c>
      <c r="P74" s="233">
        <f>0</f>
        <v>0</v>
      </c>
      <c r="Q74" s="233">
        <f>0</f>
        <v>0</v>
      </c>
      <c r="R74" s="233">
        <f>0</f>
        <v>0</v>
      </c>
      <c r="S74" s="233">
        <f>0</f>
        <v>0</v>
      </c>
      <c r="T74" s="233">
        <f>0</f>
        <v>0</v>
      </c>
      <c r="U74" s="233">
        <f>0</f>
        <v>0</v>
      </c>
      <c r="V74" s="233">
        <f>0</f>
        <v>0</v>
      </c>
      <c r="W74" s="233">
        <f>0</f>
        <v>0</v>
      </c>
      <c r="X74" s="233">
        <f>0</f>
        <v>0</v>
      </c>
      <c r="Y74" s="233">
        <f>0</f>
        <v>0</v>
      </c>
      <c r="Z74" s="233">
        <f>0</f>
        <v>0</v>
      </c>
      <c r="AA74" s="233">
        <f>0</f>
        <v>0</v>
      </c>
      <c r="AB74" s="233">
        <f>0</f>
        <v>0</v>
      </c>
      <c r="AC74" s="233">
        <f>0</f>
        <v>0</v>
      </c>
      <c r="AD74" s="233">
        <f>0</f>
        <v>0</v>
      </c>
      <c r="AE74" s="233">
        <f>0</f>
        <v>0</v>
      </c>
      <c r="AF74" s="233">
        <f>0</f>
        <v>0</v>
      </c>
      <c r="AG74" s="233">
        <f>0</f>
        <v>0</v>
      </c>
      <c r="AH74" s="233">
        <f>0</f>
        <v>0</v>
      </c>
      <c r="AI74" s="233">
        <f>0</f>
        <v>0</v>
      </c>
      <c r="AJ74" s="233">
        <f>0</f>
        <v>0</v>
      </c>
      <c r="AK74" s="233">
        <f>0</f>
        <v>0</v>
      </c>
      <c r="AL74" s="234">
        <f>0</f>
        <v>0</v>
      </c>
    </row>
    <row r="75" spans="2:39" ht="39.75" customHeight="1" outlineLevel="4">
      <c r="B75" s="226" t="s">
        <v>369</v>
      </c>
      <c r="C75" s="235" t="s">
        <v>370</v>
      </c>
      <c r="D75" s="257" t="s">
        <v>371</v>
      </c>
      <c r="E75" s="229">
        <f>0</f>
        <v>0</v>
      </c>
      <c r="F75" s="230">
        <f>0</f>
        <v>0</v>
      </c>
      <c r="G75" s="230">
        <f>519567.25</f>
        <v>519567.25</v>
      </c>
      <c r="H75" s="231">
        <f>595918.33</f>
        <v>595918.32999999996</v>
      </c>
      <c r="I75" s="232">
        <f>542599</f>
        <v>542599</v>
      </c>
      <c r="J75" s="233">
        <f>0</f>
        <v>0</v>
      </c>
      <c r="K75" s="233">
        <f>0</f>
        <v>0</v>
      </c>
      <c r="L75" s="233">
        <f>0</f>
        <v>0</v>
      </c>
      <c r="M75" s="233">
        <f>0</f>
        <v>0</v>
      </c>
      <c r="N75" s="233">
        <f>0</f>
        <v>0</v>
      </c>
      <c r="O75" s="233">
        <f>0</f>
        <v>0</v>
      </c>
      <c r="P75" s="233">
        <f>0</f>
        <v>0</v>
      </c>
      <c r="Q75" s="233">
        <f>0</f>
        <v>0</v>
      </c>
      <c r="R75" s="233">
        <f>0</f>
        <v>0</v>
      </c>
      <c r="S75" s="233">
        <f>0</f>
        <v>0</v>
      </c>
      <c r="T75" s="233">
        <f>0</f>
        <v>0</v>
      </c>
      <c r="U75" s="233">
        <f>0</f>
        <v>0</v>
      </c>
      <c r="V75" s="233">
        <f>0</f>
        <v>0</v>
      </c>
      <c r="W75" s="233">
        <f>0</f>
        <v>0</v>
      </c>
      <c r="X75" s="233">
        <f>0</f>
        <v>0</v>
      </c>
      <c r="Y75" s="233">
        <f>0</f>
        <v>0</v>
      </c>
      <c r="Z75" s="233">
        <f>0</f>
        <v>0</v>
      </c>
      <c r="AA75" s="233">
        <f>0</f>
        <v>0</v>
      </c>
      <c r="AB75" s="233">
        <f>0</f>
        <v>0</v>
      </c>
      <c r="AC75" s="233">
        <f>0</f>
        <v>0</v>
      </c>
      <c r="AD75" s="233">
        <f>0</f>
        <v>0</v>
      </c>
      <c r="AE75" s="233">
        <f>0</f>
        <v>0</v>
      </c>
      <c r="AF75" s="233">
        <f>0</f>
        <v>0</v>
      </c>
      <c r="AG75" s="233">
        <f>0</f>
        <v>0</v>
      </c>
      <c r="AH75" s="233">
        <f>0</f>
        <v>0</v>
      </c>
      <c r="AI75" s="233">
        <f>0</f>
        <v>0</v>
      </c>
      <c r="AJ75" s="233">
        <f>0</f>
        <v>0</v>
      </c>
      <c r="AK75" s="233">
        <f>0</f>
        <v>0</v>
      </c>
      <c r="AL75" s="234">
        <f>0</f>
        <v>0</v>
      </c>
    </row>
    <row r="76" spans="2:39" ht="36.75" customHeight="1" outlineLevel="2">
      <c r="B76" s="226" t="s">
        <v>372</v>
      </c>
      <c r="C76" s="235" t="s">
        <v>373</v>
      </c>
      <c r="D76" s="228" t="s">
        <v>374</v>
      </c>
      <c r="E76" s="229">
        <f>2533289.46</f>
        <v>2533289.46</v>
      </c>
      <c r="F76" s="230">
        <f>2345848.47</f>
        <v>2345848.4700000002</v>
      </c>
      <c r="G76" s="230">
        <f>1674776</f>
        <v>1674776</v>
      </c>
      <c r="H76" s="231">
        <f>1341580.04</f>
        <v>1341580.04</v>
      </c>
      <c r="I76" s="232">
        <f>1164122</f>
        <v>1164122</v>
      </c>
      <c r="J76" s="233">
        <f>81000</f>
        <v>81000</v>
      </c>
      <c r="K76" s="233">
        <f>323000</f>
        <v>323000</v>
      </c>
      <c r="L76" s="233">
        <f>751000</f>
        <v>751000</v>
      </c>
      <c r="M76" s="233">
        <f>897500</f>
        <v>897500</v>
      </c>
      <c r="N76" s="233">
        <f>1183800</f>
        <v>1183800</v>
      </c>
      <c r="O76" s="233">
        <f>920000</f>
        <v>920000</v>
      </c>
      <c r="P76" s="233">
        <f>2380000</f>
        <v>2380000</v>
      </c>
      <c r="Q76" s="233">
        <f>4030000</f>
        <v>4030000</v>
      </c>
      <c r="R76" s="233">
        <f>4570000</f>
        <v>4570000</v>
      </c>
      <c r="S76" s="233">
        <f>0</f>
        <v>0</v>
      </c>
      <c r="T76" s="233">
        <f>0</f>
        <v>0</v>
      </c>
      <c r="U76" s="233">
        <f>0</f>
        <v>0</v>
      </c>
      <c r="V76" s="233">
        <f>0</f>
        <v>0</v>
      </c>
      <c r="W76" s="233">
        <f>0</f>
        <v>0</v>
      </c>
      <c r="X76" s="233">
        <f>0</f>
        <v>0</v>
      </c>
      <c r="Y76" s="233">
        <f>0</f>
        <v>0</v>
      </c>
      <c r="Z76" s="233">
        <f>0</f>
        <v>0</v>
      </c>
      <c r="AA76" s="233">
        <f>0</f>
        <v>0</v>
      </c>
      <c r="AB76" s="233">
        <f>0</f>
        <v>0</v>
      </c>
      <c r="AC76" s="233">
        <f>0</f>
        <v>0</v>
      </c>
      <c r="AD76" s="233">
        <f>0</f>
        <v>0</v>
      </c>
      <c r="AE76" s="233">
        <f>0</f>
        <v>0</v>
      </c>
      <c r="AF76" s="233">
        <f>0</f>
        <v>0</v>
      </c>
      <c r="AG76" s="233">
        <f>0</f>
        <v>0</v>
      </c>
      <c r="AH76" s="233">
        <f>0</f>
        <v>0</v>
      </c>
      <c r="AI76" s="233">
        <f>0</f>
        <v>0</v>
      </c>
      <c r="AJ76" s="233">
        <f>0</f>
        <v>0</v>
      </c>
      <c r="AK76" s="233">
        <f>0</f>
        <v>0</v>
      </c>
      <c r="AL76" s="234">
        <f>0</f>
        <v>0</v>
      </c>
    </row>
    <row r="77" spans="2:39" outlineLevel="3">
      <c r="B77" s="226" t="s">
        <v>375</v>
      </c>
      <c r="C77" s="235" t="s">
        <v>376</v>
      </c>
      <c r="D77" s="256" t="s">
        <v>368</v>
      </c>
      <c r="E77" s="229">
        <f>2533289.46</f>
        <v>2533289.46</v>
      </c>
      <c r="F77" s="230">
        <f>2345848.47</f>
        <v>2345848.4700000002</v>
      </c>
      <c r="G77" s="230">
        <f>1674776</f>
        <v>1674776</v>
      </c>
      <c r="H77" s="231">
        <f>1311948.96</f>
        <v>1311948.96</v>
      </c>
      <c r="I77" s="232">
        <f>1164122</f>
        <v>1164122</v>
      </c>
      <c r="J77" s="233">
        <f>81000</f>
        <v>81000</v>
      </c>
      <c r="K77" s="233">
        <f>323000</f>
        <v>323000</v>
      </c>
      <c r="L77" s="233">
        <f>751000</f>
        <v>751000</v>
      </c>
      <c r="M77" s="233">
        <f>897500</f>
        <v>897500</v>
      </c>
      <c r="N77" s="233">
        <f>1183800</f>
        <v>1183800</v>
      </c>
      <c r="O77" s="233">
        <f>920000</f>
        <v>920000</v>
      </c>
      <c r="P77" s="233">
        <f>2380000</f>
        <v>2380000</v>
      </c>
      <c r="Q77" s="233">
        <f>4030000</f>
        <v>4030000</v>
      </c>
      <c r="R77" s="233">
        <f>4570000</f>
        <v>4570000</v>
      </c>
      <c r="S77" s="233">
        <f>0</f>
        <v>0</v>
      </c>
      <c r="T77" s="233">
        <f>0</f>
        <v>0</v>
      </c>
      <c r="U77" s="233">
        <f>0</f>
        <v>0</v>
      </c>
      <c r="V77" s="233">
        <f>0</f>
        <v>0</v>
      </c>
      <c r="W77" s="233">
        <f>0</f>
        <v>0</v>
      </c>
      <c r="X77" s="233">
        <f>0</f>
        <v>0</v>
      </c>
      <c r="Y77" s="233">
        <f>0</f>
        <v>0</v>
      </c>
      <c r="Z77" s="233">
        <f>0</f>
        <v>0</v>
      </c>
      <c r="AA77" s="233">
        <f>0</f>
        <v>0</v>
      </c>
      <c r="AB77" s="233">
        <f>0</f>
        <v>0</v>
      </c>
      <c r="AC77" s="233">
        <f>0</f>
        <v>0</v>
      </c>
      <c r="AD77" s="233">
        <f>0</f>
        <v>0</v>
      </c>
      <c r="AE77" s="233">
        <f>0</f>
        <v>0</v>
      </c>
      <c r="AF77" s="233">
        <f>0</f>
        <v>0</v>
      </c>
      <c r="AG77" s="233">
        <f>0</f>
        <v>0</v>
      </c>
      <c r="AH77" s="233">
        <f>0</f>
        <v>0</v>
      </c>
      <c r="AI77" s="233">
        <f>0</f>
        <v>0</v>
      </c>
      <c r="AJ77" s="233">
        <f>0</f>
        <v>0</v>
      </c>
      <c r="AK77" s="233">
        <f>0</f>
        <v>0</v>
      </c>
      <c r="AL77" s="234">
        <f>0</f>
        <v>0</v>
      </c>
    </row>
    <row r="78" spans="2:39" ht="36.75" customHeight="1" outlineLevel="4">
      <c r="B78" s="226" t="s">
        <v>377</v>
      </c>
      <c r="C78" s="235" t="s">
        <v>378</v>
      </c>
      <c r="D78" s="257" t="s">
        <v>379</v>
      </c>
      <c r="E78" s="229">
        <f>0</f>
        <v>0</v>
      </c>
      <c r="F78" s="230">
        <f>0</f>
        <v>0</v>
      </c>
      <c r="G78" s="230">
        <f>1674776</f>
        <v>1674776</v>
      </c>
      <c r="H78" s="231">
        <f>1311948.96</f>
        <v>1311948.96</v>
      </c>
      <c r="I78" s="232">
        <f>1164122</f>
        <v>1164122</v>
      </c>
      <c r="J78" s="233">
        <f>0</f>
        <v>0</v>
      </c>
      <c r="K78" s="233">
        <f>0</f>
        <v>0</v>
      </c>
      <c r="L78" s="233">
        <f>0</f>
        <v>0</v>
      </c>
      <c r="M78" s="233">
        <f>0</f>
        <v>0</v>
      </c>
      <c r="N78" s="233">
        <f>0</f>
        <v>0</v>
      </c>
      <c r="O78" s="233">
        <f>0</f>
        <v>0</v>
      </c>
      <c r="P78" s="233">
        <f>0</f>
        <v>0</v>
      </c>
      <c r="Q78" s="233">
        <f>0</f>
        <v>0</v>
      </c>
      <c r="R78" s="233">
        <f>0</f>
        <v>0</v>
      </c>
      <c r="S78" s="233">
        <f>0</f>
        <v>0</v>
      </c>
      <c r="T78" s="233">
        <f>0</f>
        <v>0</v>
      </c>
      <c r="U78" s="233">
        <f>0</f>
        <v>0</v>
      </c>
      <c r="V78" s="233">
        <f>0</f>
        <v>0</v>
      </c>
      <c r="W78" s="233">
        <f>0</f>
        <v>0</v>
      </c>
      <c r="X78" s="233">
        <f>0</f>
        <v>0</v>
      </c>
      <c r="Y78" s="233">
        <f>0</f>
        <v>0</v>
      </c>
      <c r="Z78" s="233">
        <f>0</f>
        <v>0</v>
      </c>
      <c r="AA78" s="233">
        <f>0</f>
        <v>0</v>
      </c>
      <c r="AB78" s="233">
        <f>0</f>
        <v>0</v>
      </c>
      <c r="AC78" s="233">
        <f>0</f>
        <v>0</v>
      </c>
      <c r="AD78" s="233">
        <f>0</f>
        <v>0</v>
      </c>
      <c r="AE78" s="233">
        <f>0</f>
        <v>0</v>
      </c>
      <c r="AF78" s="233">
        <f>0</f>
        <v>0</v>
      </c>
      <c r="AG78" s="233">
        <f>0</f>
        <v>0</v>
      </c>
      <c r="AH78" s="233">
        <f>0</f>
        <v>0</v>
      </c>
      <c r="AI78" s="233">
        <f>0</f>
        <v>0</v>
      </c>
      <c r="AJ78" s="233">
        <f>0</f>
        <v>0</v>
      </c>
      <c r="AK78" s="233">
        <f>0</f>
        <v>0</v>
      </c>
      <c r="AL78" s="234">
        <f>0</f>
        <v>0</v>
      </c>
    </row>
    <row r="79" spans="2:39" ht="36" customHeight="1" outlineLevel="2">
      <c r="B79" s="226" t="s">
        <v>380</v>
      </c>
      <c r="C79" s="235" t="s">
        <v>381</v>
      </c>
      <c r="D79" s="228" t="s">
        <v>382</v>
      </c>
      <c r="E79" s="229">
        <f>0</f>
        <v>0</v>
      </c>
      <c r="F79" s="230">
        <f>771596.52</f>
        <v>771596.52</v>
      </c>
      <c r="G79" s="230">
        <f>630827.4</f>
        <v>630827.4</v>
      </c>
      <c r="H79" s="231">
        <f>629605.21</f>
        <v>629605.21</v>
      </c>
      <c r="I79" s="232">
        <f>634418</f>
        <v>634418</v>
      </c>
      <c r="J79" s="233">
        <f>287212</f>
        <v>287212</v>
      </c>
      <c r="K79" s="233">
        <f>110000</f>
        <v>110000</v>
      </c>
      <c r="L79" s="233">
        <f>110000</f>
        <v>110000</v>
      </c>
      <c r="M79" s="233">
        <f>60000</f>
        <v>60000</v>
      </c>
      <c r="N79" s="233">
        <f>60000</f>
        <v>60000</v>
      </c>
      <c r="O79" s="233">
        <f>0</f>
        <v>0</v>
      </c>
      <c r="P79" s="233">
        <f>0</f>
        <v>0</v>
      </c>
      <c r="Q79" s="233">
        <f>0</f>
        <v>0</v>
      </c>
      <c r="R79" s="233">
        <f>0</f>
        <v>0</v>
      </c>
      <c r="S79" s="233">
        <f>0</f>
        <v>0</v>
      </c>
      <c r="T79" s="233">
        <f>0</f>
        <v>0</v>
      </c>
      <c r="U79" s="233">
        <f>0</f>
        <v>0</v>
      </c>
      <c r="V79" s="233">
        <f>0</f>
        <v>0</v>
      </c>
      <c r="W79" s="233">
        <f>0</f>
        <v>0</v>
      </c>
      <c r="X79" s="233">
        <f>0</f>
        <v>0</v>
      </c>
      <c r="Y79" s="233">
        <f>0</f>
        <v>0</v>
      </c>
      <c r="Z79" s="233">
        <f>0</f>
        <v>0</v>
      </c>
      <c r="AA79" s="233">
        <f>0</f>
        <v>0</v>
      </c>
      <c r="AB79" s="233">
        <f>0</f>
        <v>0</v>
      </c>
      <c r="AC79" s="233">
        <f>0</f>
        <v>0</v>
      </c>
      <c r="AD79" s="233">
        <f>0</f>
        <v>0</v>
      </c>
      <c r="AE79" s="233">
        <f>0</f>
        <v>0</v>
      </c>
      <c r="AF79" s="233">
        <f>0</f>
        <v>0</v>
      </c>
      <c r="AG79" s="233">
        <f>0</f>
        <v>0</v>
      </c>
      <c r="AH79" s="233">
        <f>0</f>
        <v>0</v>
      </c>
      <c r="AI79" s="233">
        <f>0</f>
        <v>0</v>
      </c>
      <c r="AJ79" s="233">
        <f>0</f>
        <v>0</v>
      </c>
      <c r="AK79" s="233">
        <f>0</f>
        <v>0</v>
      </c>
      <c r="AL79" s="234">
        <f>0</f>
        <v>0</v>
      </c>
    </row>
    <row r="80" spans="2:39" ht="21.75" customHeight="1" outlineLevel="3">
      <c r="B80" s="226" t="s">
        <v>383</v>
      </c>
      <c r="C80" s="235" t="s">
        <v>384</v>
      </c>
      <c r="D80" s="256" t="s">
        <v>385</v>
      </c>
      <c r="E80" s="229">
        <f>0</f>
        <v>0</v>
      </c>
      <c r="F80" s="230">
        <f>518036.87</f>
        <v>518036.87</v>
      </c>
      <c r="G80" s="230">
        <f>524218</f>
        <v>524218</v>
      </c>
      <c r="H80" s="231">
        <f>535009.94</f>
        <v>535009.93999999994</v>
      </c>
      <c r="I80" s="232">
        <f>531687</f>
        <v>531687</v>
      </c>
      <c r="J80" s="233">
        <f>193130</f>
        <v>193130</v>
      </c>
      <c r="K80" s="233">
        <f>42500</f>
        <v>42500</v>
      </c>
      <c r="L80" s="233">
        <f>42500</f>
        <v>42500</v>
      </c>
      <c r="M80" s="233">
        <f>0</f>
        <v>0</v>
      </c>
      <c r="N80" s="233">
        <f>0</f>
        <v>0</v>
      </c>
      <c r="O80" s="233">
        <f>0</f>
        <v>0</v>
      </c>
      <c r="P80" s="233">
        <f>0</f>
        <v>0</v>
      </c>
      <c r="Q80" s="233">
        <f>0</f>
        <v>0</v>
      </c>
      <c r="R80" s="233">
        <f>0</f>
        <v>0</v>
      </c>
      <c r="S80" s="233">
        <f>0</f>
        <v>0</v>
      </c>
      <c r="T80" s="233">
        <f>0</f>
        <v>0</v>
      </c>
      <c r="U80" s="233">
        <f>0</f>
        <v>0</v>
      </c>
      <c r="V80" s="233">
        <f>0</f>
        <v>0</v>
      </c>
      <c r="W80" s="233">
        <f>0</f>
        <v>0</v>
      </c>
      <c r="X80" s="233">
        <f>0</f>
        <v>0</v>
      </c>
      <c r="Y80" s="233">
        <f>0</f>
        <v>0</v>
      </c>
      <c r="Z80" s="233">
        <f>0</f>
        <v>0</v>
      </c>
      <c r="AA80" s="233">
        <f>0</f>
        <v>0</v>
      </c>
      <c r="AB80" s="233">
        <f>0</f>
        <v>0</v>
      </c>
      <c r="AC80" s="233">
        <f>0</f>
        <v>0</v>
      </c>
      <c r="AD80" s="233">
        <f>0</f>
        <v>0</v>
      </c>
      <c r="AE80" s="233">
        <f>0</f>
        <v>0</v>
      </c>
      <c r="AF80" s="233">
        <f>0</f>
        <v>0</v>
      </c>
      <c r="AG80" s="233">
        <f>0</f>
        <v>0</v>
      </c>
      <c r="AH80" s="233">
        <f>0</f>
        <v>0</v>
      </c>
      <c r="AI80" s="233">
        <f>0</f>
        <v>0</v>
      </c>
      <c r="AJ80" s="233">
        <f>0</f>
        <v>0</v>
      </c>
      <c r="AK80" s="233">
        <f>0</f>
        <v>0</v>
      </c>
      <c r="AL80" s="234">
        <f>0</f>
        <v>0</v>
      </c>
    </row>
    <row r="81" spans="2:39" ht="51" customHeight="1" outlineLevel="3">
      <c r="B81" s="226" t="s">
        <v>386</v>
      </c>
      <c r="C81" s="235" t="s">
        <v>387</v>
      </c>
      <c r="D81" s="236" t="s">
        <v>388</v>
      </c>
      <c r="E81" s="229">
        <f>0</f>
        <v>0</v>
      </c>
      <c r="F81" s="230">
        <f>0</f>
        <v>0</v>
      </c>
      <c r="G81" s="230">
        <f>0</f>
        <v>0</v>
      </c>
      <c r="H81" s="231">
        <f>0</f>
        <v>0</v>
      </c>
      <c r="I81" s="232">
        <f>0</f>
        <v>0</v>
      </c>
      <c r="J81" s="233">
        <f>0</f>
        <v>0</v>
      </c>
      <c r="K81" s="233">
        <f>0</f>
        <v>0</v>
      </c>
      <c r="L81" s="233">
        <f>0</f>
        <v>0</v>
      </c>
      <c r="M81" s="233">
        <f>0</f>
        <v>0</v>
      </c>
      <c r="N81" s="233">
        <f>0</f>
        <v>0</v>
      </c>
      <c r="O81" s="233">
        <f>0</f>
        <v>0</v>
      </c>
      <c r="P81" s="233">
        <f>0</f>
        <v>0</v>
      </c>
      <c r="Q81" s="233">
        <f>0</f>
        <v>0</v>
      </c>
      <c r="R81" s="233">
        <f>0</f>
        <v>0</v>
      </c>
      <c r="S81" s="233">
        <f>0</f>
        <v>0</v>
      </c>
      <c r="T81" s="233">
        <f>0</f>
        <v>0</v>
      </c>
      <c r="U81" s="233">
        <f>0</f>
        <v>0</v>
      </c>
      <c r="V81" s="233">
        <f>0</f>
        <v>0</v>
      </c>
      <c r="W81" s="233">
        <f>0</f>
        <v>0</v>
      </c>
      <c r="X81" s="233">
        <f>0</f>
        <v>0</v>
      </c>
      <c r="Y81" s="233">
        <f>0</f>
        <v>0</v>
      </c>
      <c r="Z81" s="233">
        <f>0</f>
        <v>0</v>
      </c>
      <c r="AA81" s="233">
        <f>0</f>
        <v>0</v>
      </c>
      <c r="AB81" s="233">
        <f>0</f>
        <v>0</v>
      </c>
      <c r="AC81" s="233">
        <f>0</f>
        <v>0</v>
      </c>
      <c r="AD81" s="233">
        <f>0</f>
        <v>0</v>
      </c>
      <c r="AE81" s="233">
        <f>0</f>
        <v>0</v>
      </c>
      <c r="AF81" s="233">
        <f>0</f>
        <v>0</v>
      </c>
      <c r="AG81" s="233">
        <f>0</f>
        <v>0</v>
      </c>
      <c r="AH81" s="233">
        <f>0</f>
        <v>0</v>
      </c>
      <c r="AI81" s="233">
        <f>0</f>
        <v>0</v>
      </c>
      <c r="AJ81" s="233">
        <f>0</f>
        <v>0</v>
      </c>
      <c r="AK81" s="233">
        <f>0</f>
        <v>0</v>
      </c>
      <c r="AL81" s="234">
        <f>0</f>
        <v>0</v>
      </c>
    </row>
    <row r="82" spans="2:39" ht="42" customHeight="1" outlineLevel="2">
      <c r="B82" s="226" t="s">
        <v>389</v>
      </c>
      <c r="C82" s="235" t="s">
        <v>390</v>
      </c>
      <c r="D82" s="228" t="s">
        <v>391</v>
      </c>
      <c r="E82" s="229">
        <f>0</f>
        <v>0</v>
      </c>
      <c r="F82" s="230">
        <f>6894736.61</f>
        <v>6894736.6100000003</v>
      </c>
      <c r="G82" s="230">
        <f>1682596</f>
        <v>1682596</v>
      </c>
      <c r="H82" s="231">
        <f>1377404.19</f>
        <v>1377404.19</v>
      </c>
      <c r="I82" s="232">
        <f>1225192</f>
        <v>1225192</v>
      </c>
      <c r="J82" s="233">
        <f>100000</f>
        <v>100000</v>
      </c>
      <c r="K82" s="233">
        <f>527430</f>
        <v>527430</v>
      </c>
      <c r="L82" s="233">
        <f>1400000</f>
        <v>1400000</v>
      </c>
      <c r="M82" s="233">
        <f>1725000</f>
        <v>1725000</v>
      </c>
      <c r="N82" s="233">
        <f>2286800</f>
        <v>2286800</v>
      </c>
      <c r="O82" s="233">
        <f>1750000</f>
        <v>1750000</v>
      </c>
      <c r="P82" s="233">
        <f>4674000</f>
        <v>4674000</v>
      </c>
      <c r="Q82" s="233">
        <f>8200000</f>
        <v>8200000</v>
      </c>
      <c r="R82" s="233">
        <f>8850000</f>
        <v>8850000</v>
      </c>
      <c r="S82" s="233">
        <f>0</f>
        <v>0</v>
      </c>
      <c r="T82" s="233">
        <f>0</f>
        <v>0</v>
      </c>
      <c r="U82" s="233">
        <f>0</f>
        <v>0</v>
      </c>
      <c r="V82" s="233">
        <f>0</f>
        <v>0</v>
      </c>
      <c r="W82" s="233">
        <f>0</f>
        <v>0</v>
      </c>
      <c r="X82" s="233">
        <f>0</f>
        <v>0</v>
      </c>
      <c r="Y82" s="233">
        <f>0</f>
        <v>0</v>
      </c>
      <c r="Z82" s="233">
        <f>0</f>
        <v>0</v>
      </c>
      <c r="AA82" s="233">
        <f>0</f>
        <v>0</v>
      </c>
      <c r="AB82" s="233">
        <f>0</f>
        <v>0</v>
      </c>
      <c r="AC82" s="233">
        <f>0</f>
        <v>0</v>
      </c>
      <c r="AD82" s="233">
        <f>0</f>
        <v>0</v>
      </c>
      <c r="AE82" s="233">
        <f>0</f>
        <v>0</v>
      </c>
      <c r="AF82" s="233">
        <f>0</f>
        <v>0</v>
      </c>
      <c r="AG82" s="233">
        <f>0</f>
        <v>0</v>
      </c>
      <c r="AH82" s="233">
        <f>0</f>
        <v>0</v>
      </c>
      <c r="AI82" s="233">
        <f>0</f>
        <v>0</v>
      </c>
      <c r="AJ82" s="233">
        <f>0</f>
        <v>0</v>
      </c>
      <c r="AK82" s="233">
        <f>0</f>
        <v>0</v>
      </c>
      <c r="AL82" s="234">
        <f>0</f>
        <v>0</v>
      </c>
    </row>
    <row r="83" spans="2:39" ht="21" customHeight="1" outlineLevel="3">
      <c r="B83" s="226" t="s">
        <v>392</v>
      </c>
      <c r="C83" s="235" t="s">
        <v>393</v>
      </c>
      <c r="D83" s="256" t="s">
        <v>394</v>
      </c>
      <c r="E83" s="229">
        <f>0</f>
        <v>0</v>
      </c>
      <c r="F83" s="230">
        <f>4448018.24</f>
        <v>4448018.24</v>
      </c>
      <c r="G83" s="230">
        <f>703037</f>
        <v>703037</v>
      </c>
      <c r="H83" s="231">
        <f>678937.66</f>
        <v>678937.66</v>
      </c>
      <c r="I83" s="232">
        <f>546925</f>
        <v>546925</v>
      </c>
      <c r="J83" s="233">
        <f>31000</f>
        <v>31000</v>
      </c>
      <c r="K83" s="233">
        <f>323000</f>
        <v>323000</v>
      </c>
      <c r="L83" s="233">
        <f>751000</f>
        <v>751000</v>
      </c>
      <c r="M83" s="233">
        <f>897500</f>
        <v>897500</v>
      </c>
      <c r="N83" s="233">
        <f>1183800</f>
        <v>1183800</v>
      </c>
      <c r="O83" s="233">
        <f>920000</f>
        <v>920000</v>
      </c>
      <c r="P83" s="233">
        <f>2380000</f>
        <v>2380000</v>
      </c>
      <c r="Q83" s="233">
        <f>4030000</f>
        <v>4030000</v>
      </c>
      <c r="R83" s="233">
        <f>4570000</f>
        <v>4570000</v>
      </c>
      <c r="S83" s="233">
        <f>0</f>
        <v>0</v>
      </c>
      <c r="T83" s="233">
        <f>0</f>
        <v>0</v>
      </c>
      <c r="U83" s="233">
        <f>0</f>
        <v>0</v>
      </c>
      <c r="V83" s="233">
        <f>0</f>
        <v>0</v>
      </c>
      <c r="W83" s="233">
        <f>0</f>
        <v>0</v>
      </c>
      <c r="X83" s="233">
        <f>0</f>
        <v>0</v>
      </c>
      <c r="Y83" s="233">
        <f>0</f>
        <v>0</v>
      </c>
      <c r="Z83" s="233">
        <f>0</f>
        <v>0</v>
      </c>
      <c r="AA83" s="233">
        <f>0</f>
        <v>0</v>
      </c>
      <c r="AB83" s="233">
        <f>0</f>
        <v>0</v>
      </c>
      <c r="AC83" s="233">
        <f>0</f>
        <v>0</v>
      </c>
      <c r="AD83" s="233">
        <f>0</f>
        <v>0</v>
      </c>
      <c r="AE83" s="233">
        <f>0</f>
        <v>0</v>
      </c>
      <c r="AF83" s="233">
        <f>0</f>
        <v>0</v>
      </c>
      <c r="AG83" s="233">
        <f>0</f>
        <v>0</v>
      </c>
      <c r="AH83" s="233">
        <f>0</f>
        <v>0</v>
      </c>
      <c r="AI83" s="233">
        <f>0</f>
        <v>0</v>
      </c>
      <c r="AJ83" s="233">
        <f>0</f>
        <v>0</v>
      </c>
      <c r="AK83" s="233">
        <f>0</f>
        <v>0</v>
      </c>
      <c r="AL83" s="234">
        <f>0</f>
        <v>0</v>
      </c>
    </row>
    <row r="84" spans="2:39" ht="54.75" customHeight="1" outlineLevel="3">
      <c r="B84" s="226" t="s">
        <v>395</v>
      </c>
      <c r="C84" s="235" t="s">
        <v>396</v>
      </c>
      <c r="D84" s="236" t="s">
        <v>397</v>
      </c>
      <c r="E84" s="229">
        <f>0</f>
        <v>0</v>
      </c>
      <c r="F84" s="230">
        <f>0</f>
        <v>0</v>
      </c>
      <c r="G84" s="230">
        <f>0</f>
        <v>0</v>
      </c>
      <c r="H84" s="231">
        <f>0</f>
        <v>0</v>
      </c>
      <c r="I84" s="232">
        <f>0</f>
        <v>0</v>
      </c>
      <c r="J84" s="233">
        <f>0</f>
        <v>0</v>
      </c>
      <c r="K84" s="233">
        <f>0</f>
        <v>0</v>
      </c>
      <c r="L84" s="233">
        <f>0</f>
        <v>0</v>
      </c>
      <c r="M84" s="233">
        <f>0</f>
        <v>0</v>
      </c>
      <c r="N84" s="233">
        <f>0</f>
        <v>0</v>
      </c>
      <c r="O84" s="233">
        <f>0</f>
        <v>0</v>
      </c>
      <c r="P84" s="233">
        <f>0</f>
        <v>0</v>
      </c>
      <c r="Q84" s="233">
        <f>0</f>
        <v>0</v>
      </c>
      <c r="R84" s="233">
        <f>0</f>
        <v>0</v>
      </c>
      <c r="S84" s="233">
        <f>0</f>
        <v>0</v>
      </c>
      <c r="T84" s="233">
        <f>0</f>
        <v>0</v>
      </c>
      <c r="U84" s="233">
        <f>0</f>
        <v>0</v>
      </c>
      <c r="V84" s="233">
        <f>0</f>
        <v>0</v>
      </c>
      <c r="W84" s="233">
        <f>0</f>
        <v>0</v>
      </c>
      <c r="X84" s="233">
        <f>0</f>
        <v>0</v>
      </c>
      <c r="Y84" s="233">
        <f>0</f>
        <v>0</v>
      </c>
      <c r="Z84" s="233">
        <f>0</f>
        <v>0</v>
      </c>
      <c r="AA84" s="233">
        <f>0</f>
        <v>0</v>
      </c>
      <c r="AB84" s="233">
        <f>0</f>
        <v>0</v>
      </c>
      <c r="AC84" s="233">
        <f>0</f>
        <v>0</v>
      </c>
      <c r="AD84" s="233">
        <f>0</f>
        <v>0</v>
      </c>
      <c r="AE84" s="233">
        <f>0</f>
        <v>0</v>
      </c>
      <c r="AF84" s="233">
        <f>0</f>
        <v>0</v>
      </c>
      <c r="AG84" s="233">
        <f>0</f>
        <v>0</v>
      </c>
      <c r="AH84" s="233">
        <f>0</f>
        <v>0</v>
      </c>
      <c r="AI84" s="233">
        <f>0</f>
        <v>0</v>
      </c>
      <c r="AJ84" s="233">
        <f>0</f>
        <v>0</v>
      </c>
      <c r="AK84" s="233">
        <f>0</f>
        <v>0</v>
      </c>
      <c r="AL84" s="234">
        <f>0</f>
        <v>0</v>
      </c>
    </row>
    <row r="85" spans="2:39" ht="51.75" customHeight="1" outlineLevel="2">
      <c r="B85" s="226" t="s">
        <v>398</v>
      </c>
      <c r="C85" s="235" t="s">
        <v>399</v>
      </c>
      <c r="D85" s="228" t="s">
        <v>400</v>
      </c>
      <c r="E85" s="229">
        <f>0</f>
        <v>0</v>
      </c>
      <c r="F85" s="230">
        <f>0</f>
        <v>0</v>
      </c>
      <c r="G85" s="230">
        <f>0</f>
        <v>0</v>
      </c>
      <c r="H85" s="231">
        <f>698466.53</f>
        <v>698466.53</v>
      </c>
      <c r="I85" s="232">
        <f>678267</f>
        <v>678267</v>
      </c>
      <c r="J85" s="233">
        <f>0</f>
        <v>0</v>
      </c>
      <c r="K85" s="233">
        <f>0</f>
        <v>0</v>
      </c>
      <c r="L85" s="233">
        <f>0</f>
        <v>0</v>
      </c>
      <c r="M85" s="233">
        <f>0</f>
        <v>0</v>
      </c>
      <c r="N85" s="233">
        <f>0</f>
        <v>0</v>
      </c>
      <c r="O85" s="233">
        <f>0</f>
        <v>0</v>
      </c>
      <c r="P85" s="233">
        <f>0</f>
        <v>0</v>
      </c>
      <c r="Q85" s="233">
        <f>0</f>
        <v>0</v>
      </c>
      <c r="R85" s="233">
        <f>0</f>
        <v>0</v>
      </c>
      <c r="S85" s="233">
        <f>0</f>
        <v>0</v>
      </c>
      <c r="T85" s="233">
        <f>0</f>
        <v>0</v>
      </c>
      <c r="U85" s="233">
        <f>0</f>
        <v>0</v>
      </c>
      <c r="V85" s="233">
        <f>0</f>
        <v>0</v>
      </c>
      <c r="W85" s="233">
        <f>0</f>
        <v>0</v>
      </c>
      <c r="X85" s="233">
        <f>0</f>
        <v>0</v>
      </c>
      <c r="Y85" s="233">
        <f>0</f>
        <v>0</v>
      </c>
      <c r="Z85" s="233">
        <f>0</f>
        <v>0</v>
      </c>
      <c r="AA85" s="233">
        <f>0</f>
        <v>0</v>
      </c>
      <c r="AB85" s="233">
        <f>0</f>
        <v>0</v>
      </c>
      <c r="AC85" s="233">
        <f>0</f>
        <v>0</v>
      </c>
      <c r="AD85" s="233">
        <f>0</f>
        <v>0</v>
      </c>
      <c r="AE85" s="233">
        <f>0</f>
        <v>0</v>
      </c>
      <c r="AF85" s="233">
        <f>0</f>
        <v>0</v>
      </c>
      <c r="AG85" s="233">
        <f>0</f>
        <v>0</v>
      </c>
      <c r="AH85" s="233">
        <f>0</f>
        <v>0</v>
      </c>
      <c r="AI85" s="233">
        <f>0</f>
        <v>0</v>
      </c>
      <c r="AJ85" s="233">
        <f>0</f>
        <v>0</v>
      </c>
      <c r="AK85" s="233">
        <f>0</f>
        <v>0</v>
      </c>
      <c r="AL85" s="234">
        <f>0</f>
        <v>0</v>
      </c>
    </row>
    <row r="86" spans="2:39" ht="23.25" customHeight="1" outlineLevel="3">
      <c r="B86" s="226" t="s">
        <v>401</v>
      </c>
      <c r="C86" s="235" t="s">
        <v>402</v>
      </c>
      <c r="D86" s="236" t="s">
        <v>403</v>
      </c>
      <c r="E86" s="229">
        <f>0</f>
        <v>0</v>
      </c>
      <c r="F86" s="230">
        <f>0</f>
        <v>0</v>
      </c>
      <c r="G86" s="230">
        <f>0</f>
        <v>0</v>
      </c>
      <c r="H86" s="231">
        <f>0</f>
        <v>0</v>
      </c>
      <c r="I86" s="232">
        <f>0</f>
        <v>0</v>
      </c>
      <c r="J86" s="233">
        <f>0</f>
        <v>0</v>
      </c>
      <c r="K86" s="233">
        <f>0</f>
        <v>0</v>
      </c>
      <c r="L86" s="233">
        <f>0</f>
        <v>0</v>
      </c>
      <c r="M86" s="233">
        <f>0</f>
        <v>0</v>
      </c>
      <c r="N86" s="233">
        <f>0</f>
        <v>0</v>
      </c>
      <c r="O86" s="233">
        <f>0</f>
        <v>0</v>
      </c>
      <c r="P86" s="233">
        <f>0</f>
        <v>0</v>
      </c>
      <c r="Q86" s="233">
        <f>0</f>
        <v>0</v>
      </c>
      <c r="R86" s="233">
        <f>0</f>
        <v>0</v>
      </c>
      <c r="S86" s="233">
        <f>0</f>
        <v>0</v>
      </c>
      <c r="T86" s="233">
        <f>0</f>
        <v>0</v>
      </c>
      <c r="U86" s="233">
        <f>0</f>
        <v>0</v>
      </c>
      <c r="V86" s="233">
        <f>0</f>
        <v>0</v>
      </c>
      <c r="W86" s="233">
        <f>0</f>
        <v>0</v>
      </c>
      <c r="X86" s="233">
        <f>0</f>
        <v>0</v>
      </c>
      <c r="Y86" s="233">
        <f>0</f>
        <v>0</v>
      </c>
      <c r="Z86" s="233">
        <f>0</f>
        <v>0</v>
      </c>
      <c r="AA86" s="233">
        <f>0</f>
        <v>0</v>
      </c>
      <c r="AB86" s="233">
        <f>0</f>
        <v>0</v>
      </c>
      <c r="AC86" s="233">
        <f>0</f>
        <v>0</v>
      </c>
      <c r="AD86" s="233">
        <f>0</f>
        <v>0</v>
      </c>
      <c r="AE86" s="233">
        <f>0</f>
        <v>0</v>
      </c>
      <c r="AF86" s="233">
        <f>0</f>
        <v>0</v>
      </c>
      <c r="AG86" s="233">
        <f>0</f>
        <v>0</v>
      </c>
      <c r="AH86" s="233">
        <f>0</f>
        <v>0</v>
      </c>
      <c r="AI86" s="233">
        <f>0</f>
        <v>0</v>
      </c>
      <c r="AJ86" s="233">
        <f>0</f>
        <v>0</v>
      </c>
      <c r="AK86" s="233">
        <f>0</f>
        <v>0</v>
      </c>
      <c r="AL86" s="234">
        <f>0</f>
        <v>0</v>
      </c>
    </row>
    <row r="87" spans="2:39" ht="53.25" customHeight="1" outlineLevel="2">
      <c r="B87" s="226" t="s">
        <v>404</v>
      </c>
      <c r="C87" s="235" t="s">
        <v>405</v>
      </c>
      <c r="D87" s="228" t="s">
        <v>406</v>
      </c>
      <c r="E87" s="229">
        <f>0</f>
        <v>0</v>
      </c>
      <c r="F87" s="230">
        <f>0</f>
        <v>0</v>
      </c>
      <c r="G87" s="230">
        <f>0</f>
        <v>0</v>
      </c>
      <c r="H87" s="231">
        <f>0</f>
        <v>0</v>
      </c>
      <c r="I87" s="232">
        <f>0</f>
        <v>0</v>
      </c>
      <c r="J87" s="233">
        <f>0</f>
        <v>0</v>
      </c>
      <c r="K87" s="233">
        <f>0</f>
        <v>0</v>
      </c>
      <c r="L87" s="233">
        <f>0</f>
        <v>0</v>
      </c>
      <c r="M87" s="233">
        <f>0</f>
        <v>0</v>
      </c>
      <c r="N87" s="233">
        <f>0</f>
        <v>0</v>
      </c>
      <c r="O87" s="233">
        <f>0</f>
        <v>0</v>
      </c>
      <c r="P87" s="233">
        <f>0</f>
        <v>0</v>
      </c>
      <c r="Q87" s="233">
        <f>0</f>
        <v>0</v>
      </c>
      <c r="R87" s="233">
        <f>0</f>
        <v>0</v>
      </c>
      <c r="S87" s="233">
        <f>0</f>
        <v>0</v>
      </c>
      <c r="T87" s="233">
        <f>0</f>
        <v>0</v>
      </c>
      <c r="U87" s="233">
        <f>0</f>
        <v>0</v>
      </c>
      <c r="V87" s="233">
        <f>0</f>
        <v>0</v>
      </c>
      <c r="W87" s="233">
        <f>0</f>
        <v>0</v>
      </c>
      <c r="X87" s="233">
        <f>0</f>
        <v>0</v>
      </c>
      <c r="Y87" s="233">
        <f>0</f>
        <v>0</v>
      </c>
      <c r="Z87" s="233">
        <f>0</f>
        <v>0</v>
      </c>
      <c r="AA87" s="233">
        <f>0</f>
        <v>0</v>
      </c>
      <c r="AB87" s="233">
        <f>0</f>
        <v>0</v>
      </c>
      <c r="AC87" s="233">
        <f>0</f>
        <v>0</v>
      </c>
      <c r="AD87" s="233">
        <f>0</f>
        <v>0</v>
      </c>
      <c r="AE87" s="233">
        <f>0</f>
        <v>0</v>
      </c>
      <c r="AF87" s="233">
        <f>0</f>
        <v>0</v>
      </c>
      <c r="AG87" s="233">
        <f>0</f>
        <v>0</v>
      </c>
      <c r="AH87" s="233">
        <f>0</f>
        <v>0</v>
      </c>
      <c r="AI87" s="233">
        <f>0</f>
        <v>0</v>
      </c>
      <c r="AJ87" s="233">
        <f>0</f>
        <v>0</v>
      </c>
      <c r="AK87" s="233">
        <f>0</f>
        <v>0</v>
      </c>
      <c r="AL87" s="234">
        <f>0</f>
        <v>0</v>
      </c>
    </row>
    <row r="88" spans="2:39" ht="24" outlineLevel="3">
      <c r="B88" s="226" t="s">
        <v>407</v>
      </c>
      <c r="C88" s="235" t="s">
        <v>402</v>
      </c>
      <c r="D88" s="236" t="s">
        <v>403</v>
      </c>
      <c r="E88" s="229">
        <f>0</f>
        <v>0</v>
      </c>
      <c r="F88" s="230">
        <f>0</f>
        <v>0</v>
      </c>
      <c r="G88" s="230">
        <f>0</f>
        <v>0</v>
      </c>
      <c r="H88" s="231">
        <f>0</f>
        <v>0</v>
      </c>
      <c r="I88" s="232">
        <f>0</f>
        <v>0</v>
      </c>
      <c r="J88" s="233">
        <f>0</f>
        <v>0</v>
      </c>
      <c r="K88" s="233">
        <f>0</f>
        <v>0</v>
      </c>
      <c r="L88" s="233">
        <f>0</f>
        <v>0</v>
      </c>
      <c r="M88" s="233">
        <f>0</f>
        <v>0</v>
      </c>
      <c r="N88" s="233">
        <f>0</f>
        <v>0</v>
      </c>
      <c r="O88" s="233">
        <f>0</f>
        <v>0</v>
      </c>
      <c r="P88" s="233">
        <f>0</f>
        <v>0</v>
      </c>
      <c r="Q88" s="233">
        <f>0</f>
        <v>0</v>
      </c>
      <c r="R88" s="233">
        <f>0</f>
        <v>0</v>
      </c>
      <c r="S88" s="233">
        <f>0</f>
        <v>0</v>
      </c>
      <c r="T88" s="233">
        <f>0</f>
        <v>0</v>
      </c>
      <c r="U88" s="233">
        <f>0</f>
        <v>0</v>
      </c>
      <c r="V88" s="233">
        <f>0</f>
        <v>0</v>
      </c>
      <c r="W88" s="233">
        <f>0</f>
        <v>0</v>
      </c>
      <c r="X88" s="233">
        <f>0</f>
        <v>0</v>
      </c>
      <c r="Y88" s="233">
        <f>0</f>
        <v>0</v>
      </c>
      <c r="Z88" s="233">
        <f>0</f>
        <v>0</v>
      </c>
      <c r="AA88" s="233">
        <f>0</f>
        <v>0</v>
      </c>
      <c r="AB88" s="233">
        <f>0</f>
        <v>0</v>
      </c>
      <c r="AC88" s="233">
        <f>0</f>
        <v>0</v>
      </c>
      <c r="AD88" s="233">
        <f>0</f>
        <v>0</v>
      </c>
      <c r="AE88" s="233">
        <f>0</f>
        <v>0</v>
      </c>
      <c r="AF88" s="233">
        <f>0</f>
        <v>0</v>
      </c>
      <c r="AG88" s="233">
        <f>0</f>
        <v>0</v>
      </c>
      <c r="AH88" s="233">
        <f>0</f>
        <v>0</v>
      </c>
      <c r="AI88" s="233">
        <f>0</f>
        <v>0</v>
      </c>
      <c r="AJ88" s="233">
        <f>0</f>
        <v>0</v>
      </c>
      <c r="AK88" s="233">
        <f>0</f>
        <v>0</v>
      </c>
      <c r="AL88" s="234">
        <f>0</f>
        <v>0</v>
      </c>
    </row>
    <row r="89" spans="2:39" ht="60" customHeight="1" outlineLevel="2">
      <c r="B89" s="226" t="s">
        <v>408</v>
      </c>
      <c r="C89" s="235" t="s">
        <v>409</v>
      </c>
      <c r="D89" s="228" t="s">
        <v>410</v>
      </c>
      <c r="E89" s="229">
        <f>0</f>
        <v>0</v>
      </c>
      <c r="F89" s="230">
        <f>0</f>
        <v>0</v>
      </c>
      <c r="G89" s="230">
        <f>0</f>
        <v>0</v>
      </c>
      <c r="H89" s="231">
        <f>2</f>
        <v>2</v>
      </c>
      <c r="I89" s="232">
        <f>0</f>
        <v>0</v>
      </c>
      <c r="J89" s="233">
        <f>0</f>
        <v>0</v>
      </c>
      <c r="K89" s="233">
        <f>0</f>
        <v>0</v>
      </c>
      <c r="L89" s="233">
        <f>0</f>
        <v>0</v>
      </c>
      <c r="M89" s="233">
        <f>0</f>
        <v>0</v>
      </c>
      <c r="N89" s="233">
        <f>0</f>
        <v>0</v>
      </c>
      <c r="O89" s="233">
        <f>0</f>
        <v>0</v>
      </c>
      <c r="P89" s="233">
        <f>0</f>
        <v>0</v>
      </c>
      <c r="Q89" s="233">
        <f>0</f>
        <v>0</v>
      </c>
      <c r="R89" s="233">
        <f>0</f>
        <v>0</v>
      </c>
      <c r="S89" s="233">
        <f>0</f>
        <v>0</v>
      </c>
      <c r="T89" s="233">
        <f>0</f>
        <v>0</v>
      </c>
      <c r="U89" s="233">
        <f>0</f>
        <v>0</v>
      </c>
      <c r="V89" s="233">
        <f>0</f>
        <v>0</v>
      </c>
      <c r="W89" s="233">
        <f>0</f>
        <v>0</v>
      </c>
      <c r="X89" s="233">
        <f>0</f>
        <v>0</v>
      </c>
      <c r="Y89" s="233">
        <f>0</f>
        <v>0</v>
      </c>
      <c r="Z89" s="233">
        <f>0</f>
        <v>0</v>
      </c>
      <c r="AA89" s="233">
        <f>0</f>
        <v>0</v>
      </c>
      <c r="AB89" s="233">
        <f>0</f>
        <v>0</v>
      </c>
      <c r="AC89" s="233">
        <f>0</f>
        <v>0</v>
      </c>
      <c r="AD89" s="233">
        <f>0</f>
        <v>0</v>
      </c>
      <c r="AE89" s="233">
        <f>0</f>
        <v>0</v>
      </c>
      <c r="AF89" s="233">
        <f>0</f>
        <v>0</v>
      </c>
      <c r="AG89" s="233">
        <f>0</f>
        <v>0</v>
      </c>
      <c r="AH89" s="233">
        <f>0</f>
        <v>0</v>
      </c>
      <c r="AI89" s="233">
        <f>0</f>
        <v>0</v>
      </c>
      <c r="AJ89" s="233">
        <f>0</f>
        <v>0</v>
      </c>
      <c r="AK89" s="233">
        <f>0</f>
        <v>0</v>
      </c>
      <c r="AL89" s="234">
        <f>0</f>
        <v>0</v>
      </c>
    </row>
    <row r="90" spans="2:39" ht="21.75" customHeight="1" outlineLevel="3">
      <c r="B90" s="226" t="s">
        <v>411</v>
      </c>
      <c r="C90" s="235" t="s">
        <v>402</v>
      </c>
      <c r="D90" s="236" t="s">
        <v>403</v>
      </c>
      <c r="E90" s="229">
        <f>0</f>
        <v>0</v>
      </c>
      <c r="F90" s="230">
        <f>0</f>
        <v>0</v>
      </c>
      <c r="G90" s="230">
        <f>0</f>
        <v>0</v>
      </c>
      <c r="H90" s="231">
        <f>0</f>
        <v>0</v>
      </c>
      <c r="I90" s="232">
        <f>0</f>
        <v>0</v>
      </c>
      <c r="J90" s="233">
        <f>0</f>
        <v>0</v>
      </c>
      <c r="K90" s="233">
        <f>0</f>
        <v>0</v>
      </c>
      <c r="L90" s="233">
        <f>0</f>
        <v>0</v>
      </c>
      <c r="M90" s="233">
        <f>0</f>
        <v>0</v>
      </c>
      <c r="N90" s="233">
        <f>0</f>
        <v>0</v>
      </c>
      <c r="O90" s="233">
        <f>0</f>
        <v>0</v>
      </c>
      <c r="P90" s="233">
        <f>0</f>
        <v>0</v>
      </c>
      <c r="Q90" s="233">
        <f>0</f>
        <v>0</v>
      </c>
      <c r="R90" s="233">
        <f>0</f>
        <v>0</v>
      </c>
      <c r="S90" s="233">
        <f>0</f>
        <v>0</v>
      </c>
      <c r="T90" s="233">
        <f>0</f>
        <v>0</v>
      </c>
      <c r="U90" s="233">
        <f>0</f>
        <v>0</v>
      </c>
      <c r="V90" s="233">
        <f>0</f>
        <v>0</v>
      </c>
      <c r="W90" s="233">
        <f>0</f>
        <v>0</v>
      </c>
      <c r="X90" s="233">
        <f>0</f>
        <v>0</v>
      </c>
      <c r="Y90" s="233">
        <f>0</f>
        <v>0</v>
      </c>
      <c r="Z90" s="233">
        <f>0</f>
        <v>0</v>
      </c>
      <c r="AA90" s="233">
        <f>0</f>
        <v>0</v>
      </c>
      <c r="AB90" s="233">
        <f>0</f>
        <v>0</v>
      </c>
      <c r="AC90" s="233">
        <f>0</f>
        <v>0</v>
      </c>
      <c r="AD90" s="233">
        <f>0</f>
        <v>0</v>
      </c>
      <c r="AE90" s="233">
        <f>0</f>
        <v>0</v>
      </c>
      <c r="AF90" s="233">
        <f>0</f>
        <v>0</v>
      </c>
      <c r="AG90" s="233">
        <f>0</f>
        <v>0</v>
      </c>
      <c r="AH90" s="233">
        <f>0</f>
        <v>0</v>
      </c>
      <c r="AI90" s="233">
        <f>0</f>
        <v>0</v>
      </c>
      <c r="AJ90" s="233">
        <f>0</f>
        <v>0</v>
      </c>
      <c r="AK90" s="233">
        <f>0</f>
        <v>0</v>
      </c>
      <c r="AL90" s="234">
        <f>0</f>
        <v>0</v>
      </c>
    </row>
    <row r="91" spans="2:39" ht="61.5" customHeight="1" outlineLevel="2">
      <c r="B91" s="226" t="s">
        <v>412</v>
      </c>
      <c r="C91" s="235" t="s">
        <v>413</v>
      </c>
      <c r="D91" s="228" t="s">
        <v>414</v>
      </c>
      <c r="E91" s="229">
        <f>0</f>
        <v>0</v>
      </c>
      <c r="F91" s="230">
        <f>0</f>
        <v>0</v>
      </c>
      <c r="G91" s="230">
        <f>0</f>
        <v>0</v>
      </c>
      <c r="H91" s="231">
        <f>0</f>
        <v>0</v>
      </c>
      <c r="I91" s="232">
        <f>0</f>
        <v>0</v>
      </c>
      <c r="J91" s="233">
        <f>0</f>
        <v>0</v>
      </c>
      <c r="K91" s="233">
        <f>0</f>
        <v>0</v>
      </c>
      <c r="L91" s="233">
        <f>0</f>
        <v>0</v>
      </c>
      <c r="M91" s="233">
        <f>0</f>
        <v>0</v>
      </c>
      <c r="N91" s="233">
        <f>0</f>
        <v>0</v>
      </c>
      <c r="O91" s="233">
        <f>0</f>
        <v>0</v>
      </c>
      <c r="P91" s="233">
        <f>0</f>
        <v>0</v>
      </c>
      <c r="Q91" s="233">
        <f>0</f>
        <v>0</v>
      </c>
      <c r="R91" s="233">
        <f>0</f>
        <v>0</v>
      </c>
      <c r="S91" s="233">
        <f>0</f>
        <v>0</v>
      </c>
      <c r="T91" s="233">
        <f>0</f>
        <v>0</v>
      </c>
      <c r="U91" s="233">
        <f>0</f>
        <v>0</v>
      </c>
      <c r="V91" s="233">
        <f>0</f>
        <v>0</v>
      </c>
      <c r="W91" s="233">
        <f>0</f>
        <v>0</v>
      </c>
      <c r="X91" s="233">
        <f>0</f>
        <v>0</v>
      </c>
      <c r="Y91" s="233">
        <f>0</f>
        <v>0</v>
      </c>
      <c r="Z91" s="233">
        <f>0</f>
        <v>0</v>
      </c>
      <c r="AA91" s="233">
        <f>0</f>
        <v>0</v>
      </c>
      <c r="AB91" s="233">
        <f>0</f>
        <v>0</v>
      </c>
      <c r="AC91" s="233">
        <f>0</f>
        <v>0</v>
      </c>
      <c r="AD91" s="233">
        <f>0</f>
        <v>0</v>
      </c>
      <c r="AE91" s="233">
        <f>0</f>
        <v>0</v>
      </c>
      <c r="AF91" s="233">
        <f>0</f>
        <v>0</v>
      </c>
      <c r="AG91" s="233">
        <f>0</f>
        <v>0</v>
      </c>
      <c r="AH91" s="233">
        <f>0</f>
        <v>0</v>
      </c>
      <c r="AI91" s="233">
        <f>0</f>
        <v>0</v>
      </c>
      <c r="AJ91" s="233">
        <f>0</f>
        <v>0</v>
      </c>
      <c r="AK91" s="233">
        <f>0</f>
        <v>0</v>
      </c>
      <c r="AL91" s="234">
        <f>0</f>
        <v>0</v>
      </c>
    </row>
    <row r="92" spans="2:39" ht="23.25" customHeight="1" outlineLevel="3">
      <c r="B92" s="226" t="s">
        <v>415</v>
      </c>
      <c r="C92" s="235" t="s">
        <v>402</v>
      </c>
      <c r="D92" s="236" t="s">
        <v>403</v>
      </c>
      <c r="E92" s="229">
        <f>0</f>
        <v>0</v>
      </c>
      <c r="F92" s="230">
        <f>0</f>
        <v>0</v>
      </c>
      <c r="G92" s="230">
        <f>0</f>
        <v>0</v>
      </c>
      <c r="H92" s="231">
        <f>0</f>
        <v>0</v>
      </c>
      <c r="I92" s="232">
        <f>0</f>
        <v>0</v>
      </c>
      <c r="J92" s="233">
        <f>0</f>
        <v>0</v>
      </c>
      <c r="K92" s="233">
        <f>0</f>
        <v>0</v>
      </c>
      <c r="L92" s="233">
        <f>0</f>
        <v>0</v>
      </c>
      <c r="M92" s="233">
        <f>0</f>
        <v>0</v>
      </c>
      <c r="N92" s="233">
        <f>0</f>
        <v>0</v>
      </c>
      <c r="O92" s="233">
        <f>0</f>
        <v>0</v>
      </c>
      <c r="P92" s="233">
        <f>0</f>
        <v>0</v>
      </c>
      <c r="Q92" s="233">
        <f>0</f>
        <v>0</v>
      </c>
      <c r="R92" s="233">
        <f>0</f>
        <v>0</v>
      </c>
      <c r="S92" s="233">
        <f>0</f>
        <v>0</v>
      </c>
      <c r="T92" s="233">
        <f>0</f>
        <v>0</v>
      </c>
      <c r="U92" s="233">
        <f>0</f>
        <v>0</v>
      </c>
      <c r="V92" s="233">
        <f>0</f>
        <v>0</v>
      </c>
      <c r="W92" s="233">
        <f>0</f>
        <v>0</v>
      </c>
      <c r="X92" s="233">
        <f>0</f>
        <v>0</v>
      </c>
      <c r="Y92" s="233">
        <f>0</f>
        <v>0</v>
      </c>
      <c r="Z92" s="233">
        <f>0</f>
        <v>0</v>
      </c>
      <c r="AA92" s="233">
        <f>0</f>
        <v>0</v>
      </c>
      <c r="AB92" s="233">
        <f>0</f>
        <v>0</v>
      </c>
      <c r="AC92" s="233">
        <f>0</f>
        <v>0</v>
      </c>
      <c r="AD92" s="233">
        <f>0</f>
        <v>0</v>
      </c>
      <c r="AE92" s="233">
        <f>0</f>
        <v>0</v>
      </c>
      <c r="AF92" s="233">
        <f>0</f>
        <v>0</v>
      </c>
      <c r="AG92" s="233">
        <f>0</f>
        <v>0</v>
      </c>
      <c r="AH92" s="233">
        <f>0</f>
        <v>0</v>
      </c>
      <c r="AI92" s="233">
        <f>0</f>
        <v>0</v>
      </c>
      <c r="AJ92" s="233">
        <f>0</f>
        <v>0</v>
      </c>
      <c r="AK92" s="233">
        <f>0</f>
        <v>0</v>
      </c>
      <c r="AL92" s="234">
        <f>0</f>
        <v>0</v>
      </c>
    </row>
    <row r="93" spans="2:39" ht="39" customHeight="1" outlineLevel="1" collapsed="1">
      <c r="B93" s="216">
        <v>13</v>
      </c>
      <c r="C93" s="217" t="s">
        <v>416</v>
      </c>
      <c r="D93" s="258" t="s">
        <v>416</v>
      </c>
      <c r="E93" s="239" t="s">
        <v>204</v>
      </c>
      <c r="F93" s="240" t="s">
        <v>204</v>
      </c>
      <c r="G93" s="240" t="s">
        <v>204</v>
      </c>
      <c r="H93" s="241" t="s">
        <v>204</v>
      </c>
      <c r="I93" s="242" t="s">
        <v>204</v>
      </c>
      <c r="J93" s="243" t="s">
        <v>204</v>
      </c>
      <c r="K93" s="243" t="s">
        <v>204</v>
      </c>
      <c r="L93" s="243" t="s">
        <v>204</v>
      </c>
      <c r="M93" s="243" t="s">
        <v>204</v>
      </c>
      <c r="N93" s="243" t="s">
        <v>204</v>
      </c>
      <c r="O93" s="243" t="s">
        <v>204</v>
      </c>
      <c r="P93" s="243" t="s">
        <v>204</v>
      </c>
      <c r="Q93" s="243" t="s">
        <v>204</v>
      </c>
      <c r="R93" s="243" t="s">
        <v>204</v>
      </c>
      <c r="S93" s="243" t="s">
        <v>204</v>
      </c>
      <c r="T93" s="243" t="s">
        <v>204</v>
      </c>
      <c r="U93" s="243" t="s">
        <v>204</v>
      </c>
      <c r="V93" s="243" t="s">
        <v>204</v>
      </c>
      <c r="W93" s="243" t="s">
        <v>204</v>
      </c>
      <c r="X93" s="243" t="s">
        <v>204</v>
      </c>
      <c r="Y93" s="243" t="s">
        <v>204</v>
      </c>
      <c r="Z93" s="243" t="s">
        <v>204</v>
      </c>
      <c r="AA93" s="243" t="s">
        <v>204</v>
      </c>
      <c r="AB93" s="243" t="s">
        <v>204</v>
      </c>
      <c r="AC93" s="243" t="s">
        <v>204</v>
      </c>
      <c r="AD93" s="243" t="s">
        <v>204</v>
      </c>
      <c r="AE93" s="243" t="s">
        <v>204</v>
      </c>
      <c r="AF93" s="243" t="s">
        <v>204</v>
      </c>
      <c r="AG93" s="243" t="s">
        <v>204</v>
      </c>
      <c r="AH93" s="243" t="s">
        <v>204</v>
      </c>
      <c r="AI93" s="243" t="s">
        <v>204</v>
      </c>
      <c r="AJ93" s="243" t="s">
        <v>204</v>
      </c>
      <c r="AK93" s="243" t="s">
        <v>204</v>
      </c>
      <c r="AL93" s="244" t="s">
        <v>204</v>
      </c>
      <c r="AM93" s="225"/>
    </row>
    <row r="94" spans="2:39" ht="26.25" hidden="1" customHeight="1" outlineLevel="2">
      <c r="B94" s="226" t="s">
        <v>417</v>
      </c>
      <c r="C94" s="235" t="s">
        <v>418</v>
      </c>
      <c r="D94" s="228" t="s">
        <v>419</v>
      </c>
      <c r="E94" s="229">
        <f>0</f>
        <v>0</v>
      </c>
      <c r="F94" s="230">
        <f>0</f>
        <v>0</v>
      </c>
      <c r="G94" s="230">
        <f>0</f>
        <v>0</v>
      </c>
      <c r="H94" s="231">
        <f>0</f>
        <v>0</v>
      </c>
      <c r="I94" s="232">
        <f>0</f>
        <v>0</v>
      </c>
      <c r="J94" s="233">
        <f>0</f>
        <v>0</v>
      </c>
      <c r="K94" s="233">
        <f>0</f>
        <v>0</v>
      </c>
      <c r="L94" s="233">
        <f>0</f>
        <v>0</v>
      </c>
      <c r="M94" s="233">
        <f>0</f>
        <v>0</v>
      </c>
      <c r="N94" s="233">
        <f>0</f>
        <v>0</v>
      </c>
      <c r="O94" s="233">
        <f>0</f>
        <v>0</v>
      </c>
      <c r="P94" s="233">
        <f>0</f>
        <v>0</v>
      </c>
      <c r="Q94" s="233">
        <f>0</f>
        <v>0</v>
      </c>
      <c r="R94" s="233">
        <f>0</f>
        <v>0</v>
      </c>
      <c r="S94" s="233">
        <f>0</f>
        <v>0</v>
      </c>
      <c r="T94" s="233">
        <f>0</f>
        <v>0</v>
      </c>
      <c r="U94" s="233">
        <f>0</f>
        <v>0</v>
      </c>
      <c r="V94" s="233">
        <f>0</f>
        <v>0</v>
      </c>
      <c r="W94" s="233">
        <f>0</f>
        <v>0</v>
      </c>
      <c r="X94" s="233">
        <f>0</f>
        <v>0</v>
      </c>
      <c r="Y94" s="233">
        <f>0</f>
        <v>0</v>
      </c>
      <c r="Z94" s="233">
        <f>0</f>
        <v>0</v>
      </c>
      <c r="AA94" s="233">
        <f>0</f>
        <v>0</v>
      </c>
      <c r="AB94" s="233">
        <f>0</f>
        <v>0</v>
      </c>
      <c r="AC94" s="233">
        <f>0</f>
        <v>0</v>
      </c>
      <c r="AD94" s="233">
        <f>0</f>
        <v>0</v>
      </c>
      <c r="AE94" s="233">
        <f>0</f>
        <v>0</v>
      </c>
      <c r="AF94" s="233">
        <f>0</f>
        <v>0</v>
      </c>
      <c r="AG94" s="233">
        <f>0</f>
        <v>0</v>
      </c>
      <c r="AH94" s="233">
        <f>0</f>
        <v>0</v>
      </c>
      <c r="AI94" s="233">
        <f>0</f>
        <v>0</v>
      </c>
      <c r="AJ94" s="233">
        <f>0</f>
        <v>0</v>
      </c>
      <c r="AK94" s="233">
        <f>0</f>
        <v>0</v>
      </c>
      <c r="AL94" s="234">
        <f>0</f>
        <v>0</v>
      </c>
    </row>
    <row r="95" spans="2:39" ht="48" hidden="1" outlineLevel="2">
      <c r="B95" s="226" t="s">
        <v>420</v>
      </c>
      <c r="C95" s="235" t="s">
        <v>421</v>
      </c>
      <c r="D95" s="228" t="s">
        <v>422</v>
      </c>
      <c r="E95" s="229">
        <f>0</f>
        <v>0</v>
      </c>
      <c r="F95" s="230">
        <f>0</f>
        <v>0</v>
      </c>
      <c r="G95" s="230">
        <f>0</f>
        <v>0</v>
      </c>
      <c r="H95" s="231">
        <f>0</f>
        <v>0</v>
      </c>
      <c r="I95" s="232">
        <f>0</f>
        <v>0</v>
      </c>
      <c r="J95" s="233">
        <f>0</f>
        <v>0</v>
      </c>
      <c r="K95" s="233">
        <f>0</f>
        <v>0</v>
      </c>
      <c r="L95" s="233">
        <f>0</f>
        <v>0</v>
      </c>
      <c r="M95" s="233">
        <f>0</f>
        <v>0</v>
      </c>
      <c r="N95" s="233">
        <f>0</f>
        <v>0</v>
      </c>
      <c r="O95" s="233">
        <f>0</f>
        <v>0</v>
      </c>
      <c r="P95" s="233">
        <f>0</f>
        <v>0</v>
      </c>
      <c r="Q95" s="233">
        <f>0</f>
        <v>0</v>
      </c>
      <c r="R95" s="233">
        <f>0</f>
        <v>0</v>
      </c>
      <c r="S95" s="233">
        <f>0</f>
        <v>0</v>
      </c>
      <c r="T95" s="233">
        <f>0</f>
        <v>0</v>
      </c>
      <c r="U95" s="233">
        <f>0</f>
        <v>0</v>
      </c>
      <c r="V95" s="233">
        <f>0</f>
        <v>0</v>
      </c>
      <c r="W95" s="233">
        <f>0</f>
        <v>0</v>
      </c>
      <c r="X95" s="233">
        <f>0</f>
        <v>0</v>
      </c>
      <c r="Y95" s="233">
        <f>0</f>
        <v>0</v>
      </c>
      <c r="Z95" s="233">
        <f>0</f>
        <v>0</v>
      </c>
      <c r="AA95" s="233">
        <f>0</f>
        <v>0</v>
      </c>
      <c r="AB95" s="233">
        <f>0</f>
        <v>0</v>
      </c>
      <c r="AC95" s="233">
        <f>0</f>
        <v>0</v>
      </c>
      <c r="AD95" s="233">
        <f>0</f>
        <v>0</v>
      </c>
      <c r="AE95" s="233">
        <f>0</f>
        <v>0</v>
      </c>
      <c r="AF95" s="233">
        <f>0</f>
        <v>0</v>
      </c>
      <c r="AG95" s="233">
        <f>0</f>
        <v>0</v>
      </c>
      <c r="AH95" s="233">
        <f>0</f>
        <v>0</v>
      </c>
      <c r="AI95" s="233">
        <f>0</f>
        <v>0</v>
      </c>
      <c r="AJ95" s="233">
        <f>0</f>
        <v>0</v>
      </c>
      <c r="AK95" s="233">
        <f>0</f>
        <v>0</v>
      </c>
      <c r="AL95" s="234">
        <f>0</f>
        <v>0</v>
      </c>
    </row>
    <row r="96" spans="2:39" ht="24" hidden="1" outlineLevel="2">
      <c r="B96" s="226" t="s">
        <v>423</v>
      </c>
      <c r="C96" s="235" t="s">
        <v>424</v>
      </c>
      <c r="D96" s="228" t="s">
        <v>425</v>
      </c>
      <c r="E96" s="229">
        <f>0</f>
        <v>0</v>
      </c>
      <c r="F96" s="230">
        <f>0</f>
        <v>0</v>
      </c>
      <c r="G96" s="230">
        <f>0</f>
        <v>0</v>
      </c>
      <c r="H96" s="231">
        <f>0</f>
        <v>0</v>
      </c>
      <c r="I96" s="232">
        <f>0</f>
        <v>0</v>
      </c>
      <c r="J96" s="233">
        <f>0</f>
        <v>0</v>
      </c>
      <c r="K96" s="233">
        <f>0</f>
        <v>0</v>
      </c>
      <c r="L96" s="233">
        <f>0</f>
        <v>0</v>
      </c>
      <c r="M96" s="233">
        <f>0</f>
        <v>0</v>
      </c>
      <c r="N96" s="233">
        <f>0</f>
        <v>0</v>
      </c>
      <c r="O96" s="233">
        <f>0</f>
        <v>0</v>
      </c>
      <c r="P96" s="233">
        <f>0</f>
        <v>0</v>
      </c>
      <c r="Q96" s="233">
        <f>0</f>
        <v>0</v>
      </c>
      <c r="R96" s="233">
        <f>0</f>
        <v>0</v>
      </c>
      <c r="S96" s="233">
        <f>0</f>
        <v>0</v>
      </c>
      <c r="T96" s="233">
        <f>0</f>
        <v>0</v>
      </c>
      <c r="U96" s="233">
        <f>0</f>
        <v>0</v>
      </c>
      <c r="V96" s="233">
        <f>0</f>
        <v>0</v>
      </c>
      <c r="W96" s="233">
        <f>0</f>
        <v>0</v>
      </c>
      <c r="X96" s="233">
        <f>0</f>
        <v>0</v>
      </c>
      <c r="Y96" s="233">
        <f>0</f>
        <v>0</v>
      </c>
      <c r="Z96" s="233">
        <f>0</f>
        <v>0</v>
      </c>
      <c r="AA96" s="233">
        <f>0</f>
        <v>0</v>
      </c>
      <c r="AB96" s="233">
        <f>0</f>
        <v>0</v>
      </c>
      <c r="AC96" s="233">
        <f>0</f>
        <v>0</v>
      </c>
      <c r="AD96" s="233">
        <f>0</f>
        <v>0</v>
      </c>
      <c r="AE96" s="233">
        <f>0</f>
        <v>0</v>
      </c>
      <c r="AF96" s="233">
        <f>0</f>
        <v>0</v>
      </c>
      <c r="AG96" s="233">
        <f>0</f>
        <v>0</v>
      </c>
      <c r="AH96" s="233">
        <f>0</f>
        <v>0</v>
      </c>
      <c r="AI96" s="233">
        <f>0</f>
        <v>0</v>
      </c>
      <c r="AJ96" s="233">
        <f>0</f>
        <v>0</v>
      </c>
      <c r="AK96" s="233">
        <f>0</f>
        <v>0</v>
      </c>
      <c r="AL96" s="234">
        <f>0</f>
        <v>0</v>
      </c>
    </row>
    <row r="97" spans="1:39" ht="36" hidden="1" outlineLevel="2">
      <c r="B97" s="226" t="s">
        <v>426</v>
      </c>
      <c r="C97" s="235" t="s">
        <v>427</v>
      </c>
      <c r="D97" s="228" t="s">
        <v>428</v>
      </c>
      <c r="E97" s="229">
        <f>0</f>
        <v>0</v>
      </c>
      <c r="F97" s="230">
        <f>0</f>
        <v>0</v>
      </c>
      <c r="G97" s="230">
        <f>0</f>
        <v>0</v>
      </c>
      <c r="H97" s="231">
        <f>0</f>
        <v>0</v>
      </c>
      <c r="I97" s="232">
        <f>0</f>
        <v>0</v>
      </c>
      <c r="J97" s="233">
        <f>0</f>
        <v>0</v>
      </c>
      <c r="K97" s="233">
        <f>0</f>
        <v>0</v>
      </c>
      <c r="L97" s="233">
        <f>0</f>
        <v>0</v>
      </c>
      <c r="M97" s="233">
        <f>0</f>
        <v>0</v>
      </c>
      <c r="N97" s="233">
        <f>0</f>
        <v>0</v>
      </c>
      <c r="O97" s="233">
        <f>0</f>
        <v>0</v>
      </c>
      <c r="P97" s="233">
        <f>0</f>
        <v>0</v>
      </c>
      <c r="Q97" s="233">
        <f>0</f>
        <v>0</v>
      </c>
      <c r="R97" s="233">
        <f>0</f>
        <v>0</v>
      </c>
      <c r="S97" s="233">
        <f>0</f>
        <v>0</v>
      </c>
      <c r="T97" s="233">
        <f>0</f>
        <v>0</v>
      </c>
      <c r="U97" s="233">
        <f>0</f>
        <v>0</v>
      </c>
      <c r="V97" s="233">
        <f>0</f>
        <v>0</v>
      </c>
      <c r="W97" s="233">
        <f>0</f>
        <v>0</v>
      </c>
      <c r="X97" s="233">
        <f>0</f>
        <v>0</v>
      </c>
      <c r="Y97" s="233">
        <f>0</f>
        <v>0</v>
      </c>
      <c r="Z97" s="233">
        <f>0</f>
        <v>0</v>
      </c>
      <c r="AA97" s="233">
        <f>0</f>
        <v>0</v>
      </c>
      <c r="AB97" s="233">
        <f>0</f>
        <v>0</v>
      </c>
      <c r="AC97" s="233">
        <f>0</f>
        <v>0</v>
      </c>
      <c r="AD97" s="233">
        <f>0</f>
        <v>0</v>
      </c>
      <c r="AE97" s="233">
        <f>0</f>
        <v>0</v>
      </c>
      <c r="AF97" s="233">
        <f>0</f>
        <v>0</v>
      </c>
      <c r="AG97" s="233">
        <f>0</f>
        <v>0</v>
      </c>
      <c r="AH97" s="233">
        <f>0</f>
        <v>0</v>
      </c>
      <c r="AI97" s="233">
        <f>0</f>
        <v>0</v>
      </c>
      <c r="AJ97" s="233">
        <f>0</f>
        <v>0</v>
      </c>
      <c r="AK97" s="233">
        <f>0</f>
        <v>0</v>
      </c>
      <c r="AL97" s="234">
        <f>0</f>
        <v>0</v>
      </c>
    </row>
    <row r="98" spans="1:39" ht="36" hidden="1" outlineLevel="2">
      <c r="B98" s="226" t="s">
        <v>429</v>
      </c>
      <c r="C98" s="235" t="s">
        <v>430</v>
      </c>
      <c r="D98" s="228" t="s">
        <v>431</v>
      </c>
      <c r="E98" s="229">
        <f>0</f>
        <v>0</v>
      </c>
      <c r="F98" s="230">
        <f>0</f>
        <v>0</v>
      </c>
      <c r="G98" s="230">
        <f>0</f>
        <v>0</v>
      </c>
      <c r="H98" s="231">
        <f>0</f>
        <v>0</v>
      </c>
      <c r="I98" s="232">
        <f>0</f>
        <v>0</v>
      </c>
      <c r="J98" s="233">
        <f>0</f>
        <v>0</v>
      </c>
      <c r="K98" s="233">
        <f>0</f>
        <v>0</v>
      </c>
      <c r="L98" s="233">
        <f>0</f>
        <v>0</v>
      </c>
      <c r="M98" s="233">
        <f>0</f>
        <v>0</v>
      </c>
      <c r="N98" s="233">
        <f>0</f>
        <v>0</v>
      </c>
      <c r="O98" s="233">
        <f>0</f>
        <v>0</v>
      </c>
      <c r="P98" s="233">
        <f>0</f>
        <v>0</v>
      </c>
      <c r="Q98" s="233">
        <f>0</f>
        <v>0</v>
      </c>
      <c r="R98" s="233">
        <f>0</f>
        <v>0</v>
      </c>
      <c r="S98" s="233">
        <f>0</f>
        <v>0</v>
      </c>
      <c r="T98" s="233">
        <f>0</f>
        <v>0</v>
      </c>
      <c r="U98" s="233">
        <f>0</f>
        <v>0</v>
      </c>
      <c r="V98" s="233">
        <f>0</f>
        <v>0</v>
      </c>
      <c r="W98" s="233">
        <f>0</f>
        <v>0</v>
      </c>
      <c r="X98" s="233">
        <f>0</f>
        <v>0</v>
      </c>
      <c r="Y98" s="233">
        <f>0</f>
        <v>0</v>
      </c>
      <c r="Z98" s="233">
        <f>0</f>
        <v>0</v>
      </c>
      <c r="AA98" s="233">
        <f>0</f>
        <v>0</v>
      </c>
      <c r="AB98" s="233">
        <f>0</f>
        <v>0</v>
      </c>
      <c r="AC98" s="233">
        <f>0</f>
        <v>0</v>
      </c>
      <c r="AD98" s="233">
        <f>0</f>
        <v>0</v>
      </c>
      <c r="AE98" s="233">
        <f>0</f>
        <v>0</v>
      </c>
      <c r="AF98" s="233">
        <f>0</f>
        <v>0</v>
      </c>
      <c r="AG98" s="233">
        <f>0</f>
        <v>0</v>
      </c>
      <c r="AH98" s="233">
        <f>0</f>
        <v>0</v>
      </c>
      <c r="AI98" s="233">
        <f>0</f>
        <v>0</v>
      </c>
      <c r="AJ98" s="233">
        <f>0</f>
        <v>0</v>
      </c>
      <c r="AK98" s="233">
        <f>0</f>
        <v>0</v>
      </c>
      <c r="AL98" s="234">
        <f>0</f>
        <v>0</v>
      </c>
    </row>
    <row r="99" spans="1:39" ht="36" hidden="1" outlineLevel="2">
      <c r="B99" s="226" t="s">
        <v>432</v>
      </c>
      <c r="C99" s="235" t="s">
        <v>433</v>
      </c>
      <c r="D99" s="228" t="s">
        <v>434</v>
      </c>
      <c r="E99" s="229">
        <f>0</f>
        <v>0</v>
      </c>
      <c r="F99" s="230">
        <f>0</f>
        <v>0</v>
      </c>
      <c r="G99" s="230">
        <f>0</f>
        <v>0</v>
      </c>
      <c r="H99" s="231">
        <f>0</f>
        <v>0</v>
      </c>
      <c r="I99" s="232">
        <f>0</f>
        <v>0</v>
      </c>
      <c r="J99" s="233">
        <f>0</f>
        <v>0</v>
      </c>
      <c r="K99" s="233">
        <f>0</f>
        <v>0</v>
      </c>
      <c r="L99" s="233">
        <f>0</f>
        <v>0</v>
      </c>
      <c r="M99" s="233">
        <f>0</f>
        <v>0</v>
      </c>
      <c r="N99" s="233">
        <f>0</f>
        <v>0</v>
      </c>
      <c r="O99" s="233">
        <f>0</f>
        <v>0</v>
      </c>
      <c r="P99" s="233">
        <f>0</f>
        <v>0</v>
      </c>
      <c r="Q99" s="233">
        <f>0</f>
        <v>0</v>
      </c>
      <c r="R99" s="233">
        <f>0</f>
        <v>0</v>
      </c>
      <c r="S99" s="233">
        <f>0</f>
        <v>0</v>
      </c>
      <c r="T99" s="233">
        <f>0</f>
        <v>0</v>
      </c>
      <c r="U99" s="233">
        <f>0</f>
        <v>0</v>
      </c>
      <c r="V99" s="233">
        <f>0</f>
        <v>0</v>
      </c>
      <c r="W99" s="233">
        <f>0</f>
        <v>0</v>
      </c>
      <c r="X99" s="233">
        <f>0</f>
        <v>0</v>
      </c>
      <c r="Y99" s="233">
        <f>0</f>
        <v>0</v>
      </c>
      <c r="Z99" s="233">
        <f>0</f>
        <v>0</v>
      </c>
      <c r="AA99" s="233">
        <f>0</f>
        <v>0</v>
      </c>
      <c r="AB99" s="233">
        <f>0</f>
        <v>0</v>
      </c>
      <c r="AC99" s="233">
        <f>0</f>
        <v>0</v>
      </c>
      <c r="AD99" s="233">
        <f>0</f>
        <v>0</v>
      </c>
      <c r="AE99" s="233">
        <f>0</f>
        <v>0</v>
      </c>
      <c r="AF99" s="233">
        <f>0</f>
        <v>0</v>
      </c>
      <c r="AG99" s="233">
        <f>0</f>
        <v>0</v>
      </c>
      <c r="AH99" s="233">
        <f>0</f>
        <v>0</v>
      </c>
      <c r="AI99" s="233">
        <f>0</f>
        <v>0</v>
      </c>
      <c r="AJ99" s="233">
        <f>0</f>
        <v>0</v>
      </c>
      <c r="AK99" s="233">
        <f>0</f>
        <v>0</v>
      </c>
      <c r="AL99" s="234">
        <f>0</f>
        <v>0</v>
      </c>
    </row>
    <row r="100" spans="1:39" ht="24" hidden="1" outlineLevel="2">
      <c r="B100" s="226" t="s">
        <v>435</v>
      </c>
      <c r="C100" s="235" t="s">
        <v>436</v>
      </c>
      <c r="D100" s="228" t="s">
        <v>437</v>
      </c>
      <c r="E100" s="229">
        <f>0</f>
        <v>0</v>
      </c>
      <c r="F100" s="230">
        <f>0</f>
        <v>0</v>
      </c>
      <c r="G100" s="230">
        <f>0</f>
        <v>0</v>
      </c>
      <c r="H100" s="231">
        <f>0</f>
        <v>0</v>
      </c>
      <c r="I100" s="232">
        <f>0</f>
        <v>0</v>
      </c>
      <c r="J100" s="233">
        <f>0</f>
        <v>0</v>
      </c>
      <c r="K100" s="233">
        <f>0</f>
        <v>0</v>
      </c>
      <c r="L100" s="233">
        <f>0</f>
        <v>0</v>
      </c>
      <c r="M100" s="233">
        <f>0</f>
        <v>0</v>
      </c>
      <c r="N100" s="233">
        <f>0</f>
        <v>0</v>
      </c>
      <c r="O100" s="233">
        <f>0</f>
        <v>0</v>
      </c>
      <c r="P100" s="233">
        <f>0</f>
        <v>0</v>
      </c>
      <c r="Q100" s="233">
        <f>0</f>
        <v>0</v>
      </c>
      <c r="R100" s="233">
        <f>0</f>
        <v>0</v>
      </c>
      <c r="S100" s="233">
        <f>0</f>
        <v>0</v>
      </c>
      <c r="T100" s="233">
        <f>0</f>
        <v>0</v>
      </c>
      <c r="U100" s="233">
        <f>0</f>
        <v>0</v>
      </c>
      <c r="V100" s="233">
        <f>0</f>
        <v>0</v>
      </c>
      <c r="W100" s="233">
        <f>0</f>
        <v>0</v>
      </c>
      <c r="X100" s="233">
        <f>0</f>
        <v>0</v>
      </c>
      <c r="Y100" s="233">
        <f>0</f>
        <v>0</v>
      </c>
      <c r="Z100" s="233">
        <f>0</f>
        <v>0</v>
      </c>
      <c r="AA100" s="233">
        <f>0</f>
        <v>0</v>
      </c>
      <c r="AB100" s="233">
        <f>0</f>
        <v>0</v>
      </c>
      <c r="AC100" s="233">
        <f>0</f>
        <v>0</v>
      </c>
      <c r="AD100" s="233">
        <f>0</f>
        <v>0</v>
      </c>
      <c r="AE100" s="233">
        <f>0</f>
        <v>0</v>
      </c>
      <c r="AF100" s="233">
        <f>0</f>
        <v>0</v>
      </c>
      <c r="AG100" s="233">
        <f>0</f>
        <v>0</v>
      </c>
      <c r="AH100" s="233">
        <f>0</f>
        <v>0</v>
      </c>
      <c r="AI100" s="233">
        <f>0</f>
        <v>0</v>
      </c>
      <c r="AJ100" s="233">
        <f>0</f>
        <v>0</v>
      </c>
      <c r="AK100" s="233">
        <f>0</f>
        <v>0</v>
      </c>
      <c r="AL100" s="234">
        <f>0</f>
        <v>0</v>
      </c>
    </row>
    <row r="101" spans="1:39" ht="15" outlineLevel="1">
      <c r="A101" s="185" t="s">
        <v>204</v>
      </c>
      <c r="B101" s="216">
        <v>14</v>
      </c>
      <c r="C101" s="217" t="s">
        <v>438</v>
      </c>
      <c r="D101" s="218" t="s">
        <v>438</v>
      </c>
      <c r="E101" s="239" t="s">
        <v>204</v>
      </c>
      <c r="F101" s="240" t="s">
        <v>204</v>
      </c>
      <c r="G101" s="240" t="s">
        <v>204</v>
      </c>
      <c r="H101" s="241" t="s">
        <v>204</v>
      </c>
      <c r="I101" s="242" t="s">
        <v>204</v>
      </c>
      <c r="J101" s="243" t="s">
        <v>204</v>
      </c>
      <c r="K101" s="243" t="s">
        <v>204</v>
      </c>
      <c r="L101" s="243" t="s">
        <v>204</v>
      </c>
      <c r="M101" s="243" t="s">
        <v>204</v>
      </c>
      <c r="N101" s="243" t="s">
        <v>204</v>
      </c>
      <c r="O101" s="243" t="s">
        <v>204</v>
      </c>
      <c r="P101" s="243" t="s">
        <v>204</v>
      </c>
      <c r="Q101" s="243" t="s">
        <v>204</v>
      </c>
      <c r="R101" s="243" t="s">
        <v>204</v>
      </c>
      <c r="S101" s="243" t="s">
        <v>204</v>
      </c>
      <c r="T101" s="243" t="s">
        <v>204</v>
      </c>
      <c r="U101" s="243" t="s">
        <v>204</v>
      </c>
      <c r="V101" s="243" t="s">
        <v>204</v>
      </c>
      <c r="W101" s="243" t="s">
        <v>204</v>
      </c>
      <c r="X101" s="243" t="s">
        <v>204</v>
      </c>
      <c r="Y101" s="243" t="s">
        <v>204</v>
      </c>
      <c r="Z101" s="243" t="s">
        <v>204</v>
      </c>
      <c r="AA101" s="243" t="s">
        <v>204</v>
      </c>
      <c r="AB101" s="243" t="s">
        <v>204</v>
      </c>
      <c r="AC101" s="243" t="s">
        <v>204</v>
      </c>
      <c r="AD101" s="243" t="s">
        <v>204</v>
      </c>
      <c r="AE101" s="243" t="s">
        <v>204</v>
      </c>
      <c r="AF101" s="243" t="s">
        <v>204</v>
      </c>
      <c r="AG101" s="243" t="s">
        <v>204</v>
      </c>
      <c r="AH101" s="243" t="s">
        <v>204</v>
      </c>
      <c r="AI101" s="243" t="s">
        <v>204</v>
      </c>
      <c r="AJ101" s="243" t="s">
        <v>204</v>
      </c>
      <c r="AK101" s="243" t="s">
        <v>204</v>
      </c>
      <c r="AL101" s="244" t="s">
        <v>204</v>
      </c>
      <c r="AM101" s="225"/>
    </row>
    <row r="102" spans="1:39" ht="37.5" customHeight="1" outlineLevel="2">
      <c r="A102" s="185" t="s">
        <v>204</v>
      </c>
      <c r="B102" s="226" t="s">
        <v>439</v>
      </c>
      <c r="C102" s="235" t="s">
        <v>440</v>
      </c>
      <c r="D102" s="228" t="s">
        <v>441</v>
      </c>
      <c r="E102" s="229">
        <f>0</f>
        <v>0</v>
      </c>
      <c r="F102" s="230">
        <f>1503605.29</f>
        <v>1503605.29</v>
      </c>
      <c r="G102" s="230">
        <f>1594521</f>
        <v>1594521</v>
      </c>
      <c r="H102" s="231">
        <f>0</f>
        <v>0</v>
      </c>
      <c r="I102" s="232">
        <f>1864521</f>
        <v>1864521</v>
      </c>
      <c r="J102" s="233">
        <f>1953410</f>
        <v>1953410</v>
      </c>
      <c r="K102" s="233">
        <f>1953410</f>
        <v>1953410</v>
      </c>
      <c r="L102" s="233">
        <f>1953410</f>
        <v>1953410</v>
      </c>
      <c r="M102" s="233">
        <f>1953410</f>
        <v>1953410</v>
      </c>
      <c r="N102" s="233">
        <f>1953410</f>
        <v>1953410</v>
      </c>
      <c r="O102" s="233">
        <f>1913410</f>
        <v>1913410</v>
      </c>
      <c r="P102" s="233">
        <f>1010016</f>
        <v>1010016</v>
      </c>
      <c r="Q102" s="233">
        <f>358852</f>
        <v>358852</v>
      </c>
      <c r="R102" s="233">
        <f>358933.42</f>
        <v>358933.42</v>
      </c>
      <c r="S102" s="233">
        <f>0</f>
        <v>0</v>
      </c>
      <c r="T102" s="233">
        <f>0</f>
        <v>0</v>
      </c>
      <c r="U102" s="233">
        <f>0</f>
        <v>0</v>
      </c>
      <c r="V102" s="233">
        <f>0</f>
        <v>0</v>
      </c>
      <c r="W102" s="233">
        <f>0</f>
        <v>0</v>
      </c>
      <c r="X102" s="233">
        <f>0</f>
        <v>0</v>
      </c>
      <c r="Y102" s="233">
        <f>0</f>
        <v>0</v>
      </c>
      <c r="Z102" s="233">
        <f>0</f>
        <v>0</v>
      </c>
      <c r="AA102" s="233">
        <f>0</f>
        <v>0</v>
      </c>
      <c r="AB102" s="233">
        <f>0</f>
        <v>0</v>
      </c>
      <c r="AC102" s="233">
        <f>0</f>
        <v>0</v>
      </c>
      <c r="AD102" s="233">
        <f>0</f>
        <v>0</v>
      </c>
      <c r="AE102" s="233">
        <f>0</f>
        <v>0</v>
      </c>
      <c r="AF102" s="233">
        <f>0</f>
        <v>0</v>
      </c>
      <c r="AG102" s="233">
        <f>0</f>
        <v>0</v>
      </c>
      <c r="AH102" s="233">
        <f>0</f>
        <v>0</v>
      </c>
      <c r="AI102" s="233">
        <f>0</f>
        <v>0</v>
      </c>
      <c r="AJ102" s="233">
        <f>0</f>
        <v>0</v>
      </c>
      <c r="AK102" s="233">
        <f>0</f>
        <v>0</v>
      </c>
      <c r="AL102" s="234">
        <f>0</f>
        <v>0</v>
      </c>
    </row>
    <row r="103" spans="1:39" ht="24" customHeight="1" outlineLevel="2">
      <c r="A103" s="185" t="s">
        <v>204</v>
      </c>
      <c r="B103" s="226" t="s">
        <v>442</v>
      </c>
      <c r="C103" s="235" t="s">
        <v>443</v>
      </c>
      <c r="D103" s="228" t="s">
        <v>444</v>
      </c>
      <c r="E103" s="229">
        <f>3736719</f>
        <v>3736719</v>
      </c>
      <c r="F103" s="230">
        <f>3198776.62</f>
        <v>3198776.62</v>
      </c>
      <c r="G103" s="230">
        <f>2377811</f>
        <v>2377811</v>
      </c>
      <c r="H103" s="231">
        <f>2578389.59</f>
        <v>2578389.59</v>
      </c>
      <c r="I103" s="232">
        <f>1698359.13</f>
        <v>1698359.13</v>
      </c>
      <c r="J103" s="233">
        <f>1018904.72</f>
        <v>1018904.72</v>
      </c>
      <c r="K103" s="233">
        <f>339451</f>
        <v>339451</v>
      </c>
      <c r="L103" s="233">
        <f>10986</f>
        <v>10986</v>
      </c>
      <c r="M103" s="233">
        <f>0</f>
        <v>0</v>
      </c>
      <c r="N103" s="233">
        <f>0</f>
        <v>0</v>
      </c>
      <c r="O103" s="233">
        <f>0</f>
        <v>0</v>
      </c>
      <c r="P103" s="233">
        <f>0</f>
        <v>0</v>
      </c>
      <c r="Q103" s="233">
        <f>0</f>
        <v>0</v>
      </c>
      <c r="R103" s="233">
        <f>0</f>
        <v>0</v>
      </c>
      <c r="S103" s="233">
        <f>0</f>
        <v>0</v>
      </c>
      <c r="T103" s="233">
        <f>0</f>
        <v>0</v>
      </c>
      <c r="U103" s="233">
        <f>0</f>
        <v>0</v>
      </c>
      <c r="V103" s="233">
        <f>0</f>
        <v>0</v>
      </c>
      <c r="W103" s="233">
        <f>0</f>
        <v>0</v>
      </c>
      <c r="X103" s="233">
        <f>0</f>
        <v>0</v>
      </c>
      <c r="Y103" s="233">
        <f>0</f>
        <v>0</v>
      </c>
      <c r="Z103" s="233">
        <f>0</f>
        <v>0</v>
      </c>
      <c r="AA103" s="233">
        <f>0</f>
        <v>0</v>
      </c>
      <c r="AB103" s="233">
        <f>0</f>
        <v>0</v>
      </c>
      <c r="AC103" s="233">
        <f>0</f>
        <v>0</v>
      </c>
      <c r="AD103" s="233">
        <f>0</f>
        <v>0</v>
      </c>
      <c r="AE103" s="233">
        <f>0</f>
        <v>0</v>
      </c>
      <c r="AF103" s="233">
        <f>0</f>
        <v>0</v>
      </c>
      <c r="AG103" s="233">
        <f>0</f>
        <v>0</v>
      </c>
      <c r="AH103" s="233">
        <f>0</f>
        <v>0</v>
      </c>
      <c r="AI103" s="233">
        <f>0</f>
        <v>0</v>
      </c>
      <c r="AJ103" s="233">
        <f>0</f>
        <v>0</v>
      </c>
      <c r="AK103" s="233">
        <f>0</f>
        <v>0</v>
      </c>
      <c r="AL103" s="234">
        <f>0</f>
        <v>0</v>
      </c>
    </row>
    <row r="104" spans="1:39" outlineLevel="2">
      <c r="A104" s="185" t="s">
        <v>204</v>
      </c>
      <c r="B104" s="226" t="s">
        <v>445</v>
      </c>
      <c r="C104" s="235" t="s">
        <v>446</v>
      </c>
      <c r="D104" s="228" t="s">
        <v>447</v>
      </c>
      <c r="E104" s="229">
        <f>0</f>
        <v>0</v>
      </c>
      <c r="F104" s="230">
        <f>679453</f>
        <v>679453</v>
      </c>
      <c r="G104" s="230">
        <f>820965.62</f>
        <v>820965.62</v>
      </c>
      <c r="H104" s="231">
        <f>820965.42</f>
        <v>820965.42</v>
      </c>
      <c r="I104" s="232">
        <f>880030.46</f>
        <v>880030.46</v>
      </c>
      <c r="J104" s="233">
        <f>679454.41</f>
        <v>679454.41</v>
      </c>
      <c r="K104" s="233">
        <f>679453.72</f>
        <v>679453.72</v>
      </c>
      <c r="L104" s="233">
        <f>328465</f>
        <v>328465</v>
      </c>
      <c r="M104" s="233">
        <f>10986</f>
        <v>10986</v>
      </c>
      <c r="N104" s="233">
        <f>0</f>
        <v>0</v>
      </c>
      <c r="O104" s="233">
        <f>0</f>
        <v>0</v>
      </c>
      <c r="P104" s="233">
        <f>0</f>
        <v>0</v>
      </c>
      <c r="Q104" s="233">
        <f>0</f>
        <v>0</v>
      </c>
      <c r="R104" s="233">
        <f>0</f>
        <v>0</v>
      </c>
      <c r="S104" s="233">
        <f>0</f>
        <v>0</v>
      </c>
      <c r="T104" s="233">
        <f>0</f>
        <v>0</v>
      </c>
      <c r="U104" s="233">
        <f>0</f>
        <v>0</v>
      </c>
      <c r="V104" s="233">
        <f>0</f>
        <v>0</v>
      </c>
      <c r="W104" s="233">
        <f>0</f>
        <v>0</v>
      </c>
      <c r="X104" s="233">
        <f>0</f>
        <v>0</v>
      </c>
      <c r="Y104" s="233">
        <f>0</f>
        <v>0</v>
      </c>
      <c r="Z104" s="233">
        <f>0</f>
        <v>0</v>
      </c>
      <c r="AA104" s="233">
        <f>0</f>
        <v>0</v>
      </c>
      <c r="AB104" s="233">
        <f>0</f>
        <v>0</v>
      </c>
      <c r="AC104" s="233">
        <f>0</f>
        <v>0</v>
      </c>
      <c r="AD104" s="233">
        <f>0</f>
        <v>0</v>
      </c>
      <c r="AE104" s="233">
        <f>0</f>
        <v>0</v>
      </c>
      <c r="AF104" s="233">
        <f>0</f>
        <v>0</v>
      </c>
      <c r="AG104" s="233">
        <f>0</f>
        <v>0</v>
      </c>
      <c r="AH104" s="233">
        <f>0</f>
        <v>0</v>
      </c>
      <c r="AI104" s="233">
        <f>0</f>
        <v>0</v>
      </c>
      <c r="AJ104" s="233">
        <f>0</f>
        <v>0</v>
      </c>
      <c r="AK104" s="233">
        <f>0</f>
        <v>0</v>
      </c>
      <c r="AL104" s="234">
        <f>0</f>
        <v>0</v>
      </c>
    </row>
    <row r="105" spans="1:39" ht="23.25" customHeight="1" outlineLevel="3">
      <c r="A105" s="185" t="s">
        <v>204</v>
      </c>
      <c r="B105" s="226" t="s">
        <v>448</v>
      </c>
      <c r="C105" s="235" t="s">
        <v>449</v>
      </c>
      <c r="D105" s="236" t="s">
        <v>450</v>
      </c>
      <c r="E105" s="229">
        <f>0</f>
        <v>0</v>
      </c>
      <c r="F105" s="230">
        <f>0</f>
        <v>0</v>
      </c>
      <c r="G105" s="230">
        <f>141512.21</f>
        <v>141512.21</v>
      </c>
      <c r="H105" s="231">
        <f>141512.21</f>
        <v>141512.21</v>
      </c>
      <c r="I105" s="232">
        <f>0</f>
        <v>0</v>
      </c>
      <c r="J105" s="233">
        <f>0</f>
        <v>0</v>
      </c>
      <c r="K105" s="233">
        <f>0</f>
        <v>0</v>
      </c>
      <c r="L105" s="233">
        <f>0</f>
        <v>0</v>
      </c>
      <c r="M105" s="233">
        <f>0</f>
        <v>0</v>
      </c>
      <c r="N105" s="233">
        <f>0</f>
        <v>0</v>
      </c>
      <c r="O105" s="233">
        <f>0</f>
        <v>0</v>
      </c>
      <c r="P105" s="233">
        <f>0</f>
        <v>0</v>
      </c>
      <c r="Q105" s="233">
        <f>0</f>
        <v>0</v>
      </c>
      <c r="R105" s="233">
        <f>0</f>
        <v>0</v>
      </c>
      <c r="S105" s="233">
        <f>0</f>
        <v>0</v>
      </c>
      <c r="T105" s="233">
        <f>0</f>
        <v>0</v>
      </c>
      <c r="U105" s="233">
        <f>0</f>
        <v>0</v>
      </c>
      <c r="V105" s="233">
        <f>0</f>
        <v>0</v>
      </c>
      <c r="W105" s="233">
        <f>0</f>
        <v>0</v>
      </c>
      <c r="X105" s="233">
        <f>0</f>
        <v>0</v>
      </c>
      <c r="Y105" s="233">
        <f>0</f>
        <v>0</v>
      </c>
      <c r="Z105" s="233">
        <f>0</f>
        <v>0</v>
      </c>
      <c r="AA105" s="233">
        <f>0</f>
        <v>0</v>
      </c>
      <c r="AB105" s="233">
        <f>0</f>
        <v>0</v>
      </c>
      <c r="AC105" s="233">
        <f>0</f>
        <v>0</v>
      </c>
      <c r="AD105" s="233">
        <f>0</f>
        <v>0</v>
      </c>
      <c r="AE105" s="233">
        <f>0</f>
        <v>0</v>
      </c>
      <c r="AF105" s="233">
        <f>0</f>
        <v>0</v>
      </c>
      <c r="AG105" s="233">
        <f>0</f>
        <v>0</v>
      </c>
      <c r="AH105" s="233">
        <f>0</f>
        <v>0</v>
      </c>
      <c r="AI105" s="233">
        <f>0</f>
        <v>0</v>
      </c>
      <c r="AJ105" s="233">
        <f>0</f>
        <v>0</v>
      </c>
      <c r="AK105" s="233">
        <f>0</f>
        <v>0</v>
      </c>
      <c r="AL105" s="234">
        <f>0</f>
        <v>0</v>
      </c>
    </row>
    <row r="106" spans="1:39" ht="22.5" customHeight="1" outlineLevel="3">
      <c r="A106" s="185" t="s">
        <v>204</v>
      </c>
      <c r="B106" s="226" t="s">
        <v>451</v>
      </c>
      <c r="C106" s="235" t="s">
        <v>452</v>
      </c>
      <c r="D106" s="236" t="s">
        <v>453</v>
      </c>
      <c r="E106" s="229">
        <f>0</f>
        <v>0</v>
      </c>
      <c r="F106" s="230">
        <f>679453</f>
        <v>679453</v>
      </c>
      <c r="G106" s="230">
        <f>679453.41</f>
        <v>679453.41</v>
      </c>
      <c r="H106" s="231">
        <f>679453.2</f>
        <v>679453.2</v>
      </c>
      <c r="I106" s="232">
        <f>880030.46</f>
        <v>880030.46</v>
      </c>
      <c r="J106" s="233">
        <f>679454.41</f>
        <v>679454.41</v>
      </c>
      <c r="K106" s="233">
        <f>679453.72</f>
        <v>679453.72</v>
      </c>
      <c r="L106" s="233">
        <f>328465</f>
        <v>328465</v>
      </c>
      <c r="M106" s="233">
        <f>10986</f>
        <v>10986</v>
      </c>
      <c r="N106" s="233">
        <f>0</f>
        <v>0</v>
      </c>
      <c r="O106" s="233">
        <f>0</f>
        <v>0</v>
      </c>
      <c r="P106" s="233">
        <f>0</f>
        <v>0</v>
      </c>
      <c r="Q106" s="233">
        <f>0</f>
        <v>0</v>
      </c>
      <c r="R106" s="233">
        <f>0</f>
        <v>0</v>
      </c>
      <c r="S106" s="233">
        <f>0</f>
        <v>0</v>
      </c>
      <c r="T106" s="233">
        <f>0</f>
        <v>0</v>
      </c>
      <c r="U106" s="233">
        <f>0</f>
        <v>0</v>
      </c>
      <c r="V106" s="233">
        <f>0</f>
        <v>0</v>
      </c>
      <c r="W106" s="233">
        <f>0</f>
        <v>0</v>
      </c>
      <c r="X106" s="233">
        <f>0</f>
        <v>0</v>
      </c>
      <c r="Y106" s="233">
        <f>0</f>
        <v>0</v>
      </c>
      <c r="Z106" s="233">
        <f>0</f>
        <v>0</v>
      </c>
      <c r="AA106" s="233">
        <f>0</f>
        <v>0</v>
      </c>
      <c r="AB106" s="233">
        <f>0</f>
        <v>0</v>
      </c>
      <c r="AC106" s="233">
        <f>0</f>
        <v>0</v>
      </c>
      <c r="AD106" s="233">
        <f>0</f>
        <v>0</v>
      </c>
      <c r="AE106" s="233">
        <f>0</f>
        <v>0</v>
      </c>
      <c r="AF106" s="233">
        <f>0</f>
        <v>0</v>
      </c>
      <c r="AG106" s="233">
        <f>0</f>
        <v>0</v>
      </c>
      <c r="AH106" s="233">
        <f>0</f>
        <v>0</v>
      </c>
      <c r="AI106" s="233">
        <f>0</f>
        <v>0</v>
      </c>
      <c r="AJ106" s="233">
        <f>0</f>
        <v>0</v>
      </c>
      <c r="AK106" s="233">
        <f>0</f>
        <v>0</v>
      </c>
      <c r="AL106" s="234">
        <f>0</f>
        <v>0</v>
      </c>
    </row>
    <row r="107" spans="1:39" ht="16.5" customHeight="1" outlineLevel="3">
      <c r="A107" s="185" t="s">
        <v>204</v>
      </c>
      <c r="B107" s="226" t="s">
        <v>454</v>
      </c>
      <c r="C107" s="235" t="s">
        <v>455</v>
      </c>
      <c r="D107" s="236" t="s">
        <v>456</v>
      </c>
      <c r="E107" s="229">
        <f>0</f>
        <v>0</v>
      </c>
      <c r="F107" s="230">
        <f>0</f>
        <v>0</v>
      </c>
      <c r="G107" s="230">
        <f>0</f>
        <v>0</v>
      </c>
      <c r="H107" s="231">
        <f>0</f>
        <v>0</v>
      </c>
      <c r="I107" s="232">
        <f>0</f>
        <v>0</v>
      </c>
      <c r="J107" s="233">
        <f>0</f>
        <v>0</v>
      </c>
      <c r="K107" s="233">
        <f>0</f>
        <v>0</v>
      </c>
      <c r="L107" s="233">
        <f>0</f>
        <v>0</v>
      </c>
      <c r="M107" s="233">
        <f>0</f>
        <v>0</v>
      </c>
      <c r="N107" s="233">
        <f>0</f>
        <v>0</v>
      </c>
      <c r="O107" s="233">
        <f>0</f>
        <v>0</v>
      </c>
      <c r="P107" s="233">
        <f>0</f>
        <v>0</v>
      </c>
      <c r="Q107" s="233">
        <f>0</f>
        <v>0</v>
      </c>
      <c r="R107" s="233">
        <f>0</f>
        <v>0</v>
      </c>
      <c r="S107" s="233">
        <f>0</f>
        <v>0</v>
      </c>
      <c r="T107" s="233">
        <f>0</f>
        <v>0</v>
      </c>
      <c r="U107" s="233">
        <f>0</f>
        <v>0</v>
      </c>
      <c r="V107" s="233">
        <f>0</f>
        <v>0</v>
      </c>
      <c r="W107" s="233">
        <f>0</f>
        <v>0</v>
      </c>
      <c r="X107" s="233">
        <f>0</f>
        <v>0</v>
      </c>
      <c r="Y107" s="233">
        <f>0</f>
        <v>0</v>
      </c>
      <c r="Z107" s="233">
        <f>0</f>
        <v>0</v>
      </c>
      <c r="AA107" s="233">
        <f>0</f>
        <v>0</v>
      </c>
      <c r="AB107" s="233">
        <f>0</f>
        <v>0</v>
      </c>
      <c r="AC107" s="233">
        <f>0</f>
        <v>0</v>
      </c>
      <c r="AD107" s="233">
        <f>0</f>
        <v>0</v>
      </c>
      <c r="AE107" s="233">
        <f>0</f>
        <v>0</v>
      </c>
      <c r="AF107" s="233">
        <f>0</f>
        <v>0</v>
      </c>
      <c r="AG107" s="233">
        <f>0</f>
        <v>0</v>
      </c>
      <c r="AH107" s="233">
        <f>0</f>
        <v>0</v>
      </c>
      <c r="AI107" s="233">
        <f>0</f>
        <v>0</v>
      </c>
      <c r="AJ107" s="233">
        <f>0</f>
        <v>0</v>
      </c>
      <c r="AK107" s="233">
        <f>0</f>
        <v>0</v>
      </c>
      <c r="AL107" s="234">
        <f>0</f>
        <v>0</v>
      </c>
    </row>
    <row r="108" spans="1:39" ht="23.25" customHeight="1" outlineLevel="2">
      <c r="A108" s="185" t="s">
        <v>204</v>
      </c>
      <c r="B108" s="226" t="s">
        <v>457</v>
      </c>
      <c r="C108" s="235" t="s">
        <v>458</v>
      </c>
      <c r="D108" s="228" t="s">
        <v>459</v>
      </c>
      <c r="E108" s="229">
        <f>0</f>
        <v>0</v>
      </c>
      <c r="F108" s="230">
        <f>0</f>
        <v>0</v>
      </c>
      <c r="G108" s="230">
        <f>0</f>
        <v>0</v>
      </c>
      <c r="H108" s="231">
        <f>0</f>
        <v>0</v>
      </c>
      <c r="I108" s="232">
        <f>0</f>
        <v>0</v>
      </c>
      <c r="J108" s="233">
        <f>0</f>
        <v>0</v>
      </c>
      <c r="K108" s="233">
        <f>0</f>
        <v>0</v>
      </c>
      <c r="L108" s="233">
        <f>0</f>
        <v>0</v>
      </c>
      <c r="M108" s="233">
        <f>0</f>
        <v>0</v>
      </c>
      <c r="N108" s="233">
        <f>0</f>
        <v>0</v>
      </c>
      <c r="O108" s="233">
        <f>0</f>
        <v>0</v>
      </c>
      <c r="P108" s="233">
        <f>0</f>
        <v>0</v>
      </c>
      <c r="Q108" s="233">
        <f>0</f>
        <v>0</v>
      </c>
      <c r="R108" s="233">
        <f>0</f>
        <v>0</v>
      </c>
      <c r="S108" s="233">
        <f>0</f>
        <v>0</v>
      </c>
      <c r="T108" s="233">
        <f>0</f>
        <v>0</v>
      </c>
      <c r="U108" s="233">
        <f>0</f>
        <v>0</v>
      </c>
      <c r="V108" s="233">
        <f>0</f>
        <v>0</v>
      </c>
      <c r="W108" s="233">
        <f>0</f>
        <v>0</v>
      </c>
      <c r="X108" s="233">
        <f>0</f>
        <v>0</v>
      </c>
      <c r="Y108" s="233">
        <f>0</f>
        <v>0</v>
      </c>
      <c r="Z108" s="233">
        <f>0</f>
        <v>0</v>
      </c>
      <c r="AA108" s="233">
        <f>0</f>
        <v>0</v>
      </c>
      <c r="AB108" s="233">
        <f>0</f>
        <v>0</v>
      </c>
      <c r="AC108" s="233">
        <f>0</f>
        <v>0</v>
      </c>
      <c r="AD108" s="233">
        <f>0</f>
        <v>0</v>
      </c>
      <c r="AE108" s="233">
        <f>0</f>
        <v>0</v>
      </c>
      <c r="AF108" s="233">
        <f>0</f>
        <v>0</v>
      </c>
      <c r="AG108" s="233">
        <f>0</f>
        <v>0</v>
      </c>
      <c r="AH108" s="233">
        <f>0</f>
        <v>0</v>
      </c>
      <c r="AI108" s="233">
        <f>0</f>
        <v>0</v>
      </c>
      <c r="AJ108" s="233">
        <f>0</f>
        <v>0</v>
      </c>
      <c r="AK108" s="233">
        <f>0</f>
        <v>0</v>
      </c>
      <c r="AL108" s="234">
        <f>0</f>
        <v>0</v>
      </c>
    </row>
    <row r="109" spans="1:39" outlineLevel="1">
      <c r="B109" s="216">
        <v>15</v>
      </c>
      <c r="C109" s="217" t="s">
        <v>460</v>
      </c>
      <c r="D109" s="218" t="s">
        <v>460</v>
      </c>
      <c r="E109" s="239" t="s">
        <v>204</v>
      </c>
      <c r="F109" s="240" t="s">
        <v>204</v>
      </c>
      <c r="G109" s="240" t="s">
        <v>204</v>
      </c>
      <c r="H109" s="241" t="s">
        <v>204</v>
      </c>
      <c r="I109" s="242" t="s">
        <v>204</v>
      </c>
      <c r="J109" s="243" t="s">
        <v>204</v>
      </c>
      <c r="K109" s="243" t="s">
        <v>204</v>
      </c>
      <c r="L109" s="243" t="s">
        <v>204</v>
      </c>
      <c r="M109" s="243" t="s">
        <v>204</v>
      </c>
      <c r="N109" s="243" t="s">
        <v>204</v>
      </c>
      <c r="O109" s="243" t="s">
        <v>204</v>
      </c>
      <c r="P109" s="243" t="s">
        <v>204</v>
      </c>
      <c r="Q109" s="243" t="s">
        <v>204</v>
      </c>
      <c r="R109" s="243" t="s">
        <v>204</v>
      </c>
      <c r="S109" s="243" t="s">
        <v>204</v>
      </c>
      <c r="T109" s="243" t="s">
        <v>204</v>
      </c>
      <c r="U109" s="243" t="s">
        <v>204</v>
      </c>
      <c r="V109" s="243" t="s">
        <v>204</v>
      </c>
      <c r="W109" s="243" t="s">
        <v>204</v>
      </c>
      <c r="X109" s="243" t="s">
        <v>204</v>
      </c>
      <c r="Y109" s="243" t="s">
        <v>204</v>
      </c>
      <c r="Z109" s="243" t="s">
        <v>204</v>
      </c>
      <c r="AA109" s="243" t="s">
        <v>204</v>
      </c>
      <c r="AB109" s="243" t="s">
        <v>204</v>
      </c>
      <c r="AC109" s="243" t="s">
        <v>204</v>
      </c>
      <c r="AD109" s="243" t="s">
        <v>204</v>
      </c>
      <c r="AE109" s="243" t="s">
        <v>204</v>
      </c>
      <c r="AF109" s="243" t="s">
        <v>204</v>
      </c>
      <c r="AG109" s="243" t="s">
        <v>204</v>
      </c>
      <c r="AH109" s="243" t="s">
        <v>204</v>
      </c>
      <c r="AI109" s="243" t="s">
        <v>204</v>
      </c>
      <c r="AJ109" s="243" t="s">
        <v>204</v>
      </c>
      <c r="AK109" s="243" t="s">
        <v>204</v>
      </c>
      <c r="AL109" s="244" t="s">
        <v>204</v>
      </c>
    </row>
    <row r="110" spans="1:39" ht="23.25" customHeight="1" outlineLevel="2">
      <c r="B110" s="226" t="s">
        <v>461</v>
      </c>
      <c r="C110" s="235" t="s">
        <v>462</v>
      </c>
      <c r="D110" s="228" t="s">
        <v>463</v>
      </c>
      <c r="E110" s="229">
        <f>0</f>
        <v>0</v>
      </c>
      <c r="F110" s="230">
        <f>0</f>
        <v>0</v>
      </c>
      <c r="G110" s="230">
        <f>0</f>
        <v>0</v>
      </c>
      <c r="H110" s="231">
        <f>0</f>
        <v>0</v>
      </c>
      <c r="I110" s="232">
        <f>0</f>
        <v>0</v>
      </c>
      <c r="J110" s="233">
        <f>0</f>
        <v>0</v>
      </c>
      <c r="K110" s="233">
        <f>0</f>
        <v>0</v>
      </c>
      <c r="L110" s="233">
        <f>0</f>
        <v>0</v>
      </c>
      <c r="M110" s="233">
        <f>0</f>
        <v>0</v>
      </c>
      <c r="N110" s="233">
        <f>0</f>
        <v>0</v>
      </c>
      <c r="O110" s="233">
        <f>0</f>
        <v>0</v>
      </c>
      <c r="P110" s="233">
        <f>0</f>
        <v>0</v>
      </c>
      <c r="Q110" s="233">
        <f>0</f>
        <v>0</v>
      </c>
      <c r="R110" s="233">
        <f>0</f>
        <v>0</v>
      </c>
      <c r="S110" s="233">
        <f>0</f>
        <v>0</v>
      </c>
      <c r="T110" s="233">
        <f>0</f>
        <v>0</v>
      </c>
      <c r="U110" s="233">
        <f>0</f>
        <v>0</v>
      </c>
      <c r="V110" s="233">
        <f>0</f>
        <v>0</v>
      </c>
      <c r="W110" s="233">
        <f>0</f>
        <v>0</v>
      </c>
      <c r="X110" s="233">
        <f>0</f>
        <v>0</v>
      </c>
      <c r="Y110" s="233">
        <f>0</f>
        <v>0</v>
      </c>
      <c r="Z110" s="233">
        <f>0</f>
        <v>0</v>
      </c>
      <c r="AA110" s="233">
        <f>0</f>
        <v>0</v>
      </c>
      <c r="AB110" s="233">
        <f>0</f>
        <v>0</v>
      </c>
      <c r="AC110" s="233">
        <f>0</f>
        <v>0</v>
      </c>
      <c r="AD110" s="233">
        <f>0</f>
        <v>0</v>
      </c>
      <c r="AE110" s="233">
        <f>0</f>
        <v>0</v>
      </c>
      <c r="AF110" s="233">
        <f>0</f>
        <v>0</v>
      </c>
      <c r="AG110" s="233">
        <f>0</f>
        <v>0</v>
      </c>
      <c r="AH110" s="233">
        <f>0</f>
        <v>0</v>
      </c>
      <c r="AI110" s="233">
        <f>0</f>
        <v>0</v>
      </c>
      <c r="AJ110" s="233">
        <f>0</f>
        <v>0</v>
      </c>
      <c r="AK110" s="233">
        <f>0</f>
        <v>0</v>
      </c>
      <c r="AL110" s="234">
        <f>0</f>
        <v>0</v>
      </c>
    </row>
    <row r="111" spans="1:39" outlineLevel="3">
      <c r="A111" s="185" t="s">
        <v>204</v>
      </c>
      <c r="B111" s="226" t="s">
        <v>464</v>
      </c>
      <c r="C111" s="235" t="s">
        <v>465</v>
      </c>
      <c r="D111" s="236" t="s">
        <v>466</v>
      </c>
      <c r="E111" s="229">
        <f>0</f>
        <v>0</v>
      </c>
      <c r="F111" s="230">
        <f>0</f>
        <v>0</v>
      </c>
      <c r="G111" s="230">
        <f>0</f>
        <v>0</v>
      </c>
      <c r="H111" s="231">
        <f>0</f>
        <v>0</v>
      </c>
      <c r="I111" s="232">
        <f>0</f>
        <v>0</v>
      </c>
      <c r="J111" s="233">
        <f>0</f>
        <v>0</v>
      </c>
      <c r="K111" s="233">
        <f>0</f>
        <v>0</v>
      </c>
      <c r="L111" s="233">
        <f>0</f>
        <v>0</v>
      </c>
      <c r="M111" s="233">
        <f>0</f>
        <v>0</v>
      </c>
      <c r="N111" s="233">
        <f>0</f>
        <v>0</v>
      </c>
      <c r="O111" s="233">
        <f>0</f>
        <v>0</v>
      </c>
      <c r="P111" s="233">
        <f>0</f>
        <v>0</v>
      </c>
      <c r="Q111" s="233">
        <f>0</f>
        <v>0</v>
      </c>
      <c r="R111" s="233">
        <f>0</f>
        <v>0</v>
      </c>
      <c r="S111" s="233">
        <f>0</f>
        <v>0</v>
      </c>
      <c r="T111" s="233">
        <f>0</f>
        <v>0</v>
      </c>
      <c r="U111" s="233">
        <f>0</f>
        <v>0</v>
      </c>
      <c r="V111" s="233">
        <f>0</f>
        <v>0</v>
      </c>
      <c r="W111" s="233">
        <f>0</f>
        <v>0</v>
      </c>
      <c r="X111" s="233">
        <f>0</f>
        <v>0</v>
      </c>
      <c r="Y111" s="233">
        <f>0</f>
        <v>0</v>
      </c>
      <c r="Z111" s="233">
        <f>0</f>
        <v>0</v>
      </c>
      <c r="AA111" s="233">
        <f>0</f>
        <v>0</v>
      </c>
      <c r="AB111" s="233">
        <f>0</f>
        <v>0</v>
      </c>
      <c r="AC111" s="233">
        <f>0</f>
        <v>0</v>
      </c>
      <c r="AD111" s="233">
        <f>0</f>
        <v>0</v>
      </c>
      <c r="AE111" s="233">
        <f>0</f>
        <v>0</v>
      </c>
      <c r="AF111" s="233">
        <f>0</f>
        <v>0</v>
      </c>
      <c r="AG111" s="233">
        <f>0</f>
        <v>0</v>
      </c>
      <c r="AH111" s="233">
        <f>0</f>
        <v>0</v>
      </c>
      <c r="AI111" s="233">
        <f>0</f>
        <v>0</v>
      </c>
      <c r="AJ111" s="233">
        <f>0</f>
        <v>0</v>
      </c>
      <c r="AK111" s="233">
        <f>0</f>
        <v>0</v>
      </c>
      <c r="AL111" s="234">
        <f>0</f>
        <v>0</v>
      </c>
    </row>
    <row r="112" spans="1:39" ht="39" customHeight="1" outlineLevel="2">
      <c r="A112" s="185" t="s">
        <v>204</v>
      </c>
      <c r="B112" s="259" t="s">
        <v>467</v>
      </c>
      <c r="C112" s="260" t="s">
        <v>468</v>
      </c>
      <c r="D112" s="261" t="s">
        <v>468</v>
      </c>
      <c r="E112" s="262">
        <f>0</f>
        <v>0</v>
      </c>
      <c r="F112" s="263">
        <f>0</f>
        <v>0</v>
      </c>
      <c r="G112" s="263">
        <f>0</f>
        <v>0</v>
      </c>
      <c r="H112" s="264">
        <f>0</f>
        <v>0</v>
      </c>
      <c r="I112" s="265">
        <f>0</f>
        <v>0</v>
      </c>
      <c r="J112" s="266">
        <f>0</f>
        <v>0</v>
      </c>
      <c r="K112" s="266">
        <f>0</f>
        <v>0</v>
      </c>
      <c r="L112" s="266">
        <f>0</f>
        <v>0</v>
      </c>
      <c r="M112" s="266">
        <f>0</f>
        <v>0</v>
      </c>
      <c r="N112" s="266">
        <f>0</f>
        <v>0</v>
      </c>
      <c r="O112" s="266">
        <f>0</f>
        <v>0</v>
      </c>
      <c r="P112" s="266">
        <f>0</f>
        <v>0</v>
      </c>
      <c r="Q112" s="266">
        <f>0</f>
        <v>0</v>
      </c>
      <c r="R112" s="266">
        <f>0</f>
        <v>0</v>
      </c>
      <c r="S112" s="266">
        <f>0</f>
        <v>0</v>
      </c>
      <c r="T112" s="266">
        <f>0</f>
        <v>0</v>
      </c>
      <c r="U112" s="266">
        <f>0</f>
        <v>0</v>
      </c>
      <c r="V112" s="266">
        <f>0</f>
        <v>0</v>
      </c>
      <c r="W112" s="266">
        <f>0</f>
        <v>0</v>
      </c>
      <c r="X112" s="266">
        <f>0</f>
        <v>0</v>
      </c>
      <c r="Y112" s="266">
        <f>0</f>
        <v>0</v>
      </c>
      <c r="Z112" s="266">
        <f>0</f>
        <v>0</v>
      </c>
      <c r="AA112" s="266">
        <f>0</f>
        <v>0</v>
      </c>
      <c r="AB112" s="266">
        <f>0</f>
        <v>0</v>
      </c>
      <c r="AC112" s="266">
        <f>0</f>
        <v>0</v>
      </c>
      <c r="AD112" s="266">
        <f>0</f>
        <v>0</v>
      </c>
      <c r="AE112" s="266">
        <f>0</f>
        <v>0</v>
      </c>
      <c r="AF112" s="266">
        <f>0</f>
        <v>0</v>
      </c>
      <c r="AG112" s="266">
        <f>0</f>
        <v>0</v>
      </c>
      <c r="AH112" s="266">
        <f>0</f>
        <v>0</v>
      </c>
      <c r="AI112" s="266">
        <f>0</f>
        <v>0</v>
      </c>
      <c r="AJ112" s="266">
        <f>0</f>
        <v>0</v>
      </c>
      <c r="AK112" s="266">
        <f>0</f>
        <v>0</v>
      </c>
      <c r="AL112" s="267">
        <f>0</f>
        <v>0</v>
      </c>
    </row>
    <row r="113" spans="2:39" ht="39" customHeight="1">
      <c r="B113" s="268"/>
      <c r="C113" s="268"/>
      <c r="D113" s="268"/>
      <c r="E113" s="268"/>
      <c r="F113" s="268"/>
      <c r="G113" s="268"/>
      <c r="H113" s="268"/>
      <c r="I113" s="268"/>
      <c r="J113" s="268"/>
      <c r="K113" s="268"/>
      <c r="L113" s="268"/>
      <c r="M113" s="268"/>
      <c r="N113" s="268"/>
      <c r="O113" s="268"/>
      <c r="P113" s="268"/>
      <c r="Q113" s="268"/>
      <c r="R113" s="268"/>
      <c r="S113" s="268"/>
      <c r="T113" s="268"/>
      <c r="U113" s="268"/>
      <c r="V113" s="268"/>
      <c r="W113" s="268"/>
      <c r="X113" s="268"/>
      <c r="Y113" s="268"/>
      <c r="Z113" s="268"/>
      <c r="AA113" s="268"/>
      <c r="AB113" s="268"/>
      <c r="AC113" s="268"/>
      <c r="AD113" s="268"/>
      <c r="AE113" s="268"/>
      <c r="AF113" s="268"/>
      <c r="AG113" s="268"/>
      <c r="AH113" s="268"/>
      <c r="AI113" s="268"/>
      <c r="AJ113" s="268"/>
      <c r="AK113" s="268"/>
      <c r="AL113" s="268"/>
      <c r="AM113" s="188"/>
    </row>
    <row r="114" spans="2:39" ht="15" hidden="1">
      <c r="B114" s="269" t="s">
        <v>469</v>
      </c>
      <c r="C114" s="268"/>
      <c r="D114" s="268"/>
      <c r="E114" s="270"/>
      <c r="F114" s="270"/>
      <c r="G114" s="270"/>
      <c r="H114" s="270"/>
      <c r="I114" s="268"/>
      <c r="J114" s="268"/>
      <c r="K114" s="268"/>
      <c r="L114" s="268"/>
      <c r="M114" s="268"/>
      <c r="N114" s="268"/>
      <c r="O114" s="268"/>
      <c r="P114" s="268"/>
      <c r="Q114" s="268"/>
      <c r="R114" s="268"/>
      <c r="S114" s="268"/>
      <c r="T114" s="268"/>
      <c r="U114" s="268"/>
      <c r="V114" s="268"/>
      <c r="W114" s="268"/>
      <c r="X114" s="268"/>
      <c r="Y114" s="268"/>
      <c r="Z114" s="268"/>
      <c r="AA114" s="268"/>
      <c r="AB114" s="268"/>
      <c r="AC114" s="268"/>
      <c r="AD114" s="268"/>
      <c r="AE114" s="268"/>
      <c r="AF114" s="268"/>
      <c r="AG114" s="268"/>
      <c r="AH114" s="268"/>
      <c r="AI114" s="268"/>
      <c r="AJ114" s="268"/>
      <c r="AK114" s="268"/>
      <c r="AL114" s="268"/>
      <c r="AM114" s="188"/>
    </row>
    <row r="115" spans="2:39" ht="15" hidden="1">
      <c r="B115" s="271" t="s">
        <v>470</v>
      </c>
      <c r="C115" s="268"/>
      <c r="D115" s="268"/>
      <c r="E115" s="272"/>
      <c r="F115" s="272"/>
      <c r="G115" s="272"/>
      <c r="H115" s="272"/>
      <c r="I115" s="268"/>
      <c r="J115" s="268"/>
      <c r="K115" s="268"/>
      <c r="L115" s="268"/>
      <c r="M115" s="268"/>
      <c r="N115" s="268"/>
      <c r="O115" s="268"/>
      <c r="P115" s="268"/>
      <c r="Q115" s="268"/>
      <c r="R115" s="268"/>
      <c r="S115" s="268"/>
      <c r="T115" s="268"/>
      <c r="U115" s="268"/>
      <c r="V115" s="268"/>
      <c r="W115" s="268"/>
      <c r="X115" s="268"/>
      <c r="Y115" s="268"/>
      <c r="Z115" s="268"/>
      <c r="AA115" s="268"/>
      <c r="AB115" s="268"/>
      <c r="AC115" s="268"/>
      <c r="AD115" s="268"/>
      <c r="AE115" s="268"/>
      <c r="AF115" s="268"/>
      <c r="AG115" s="268"/>
      <c r="AH115" s="268"/>
      <c r="AI115" s="268"/>
      <c r="AJ115" s="268"/>
      <c r="AK115" s="268"/>
      <c r="AL115" s="268"/>
      <c r="AM115" s="188"/>
    </row>
    <row r="116" spans="2:39" hidden="1">
      <c r="B116" s="273"/>
      <c r="C116" s="273"/>
      <c r="D116" s="268"/>
      <c r="E116" s="272"/>
      <c r="F116" s="272"/>
      <c r="G116" s="272"/>
      <c r="H116" s="272"/>
      <c r="I116" s="268"/>
      <c r="J116" s="268"/>
      <c r="K116" s="268"/>
      <c r="L116" s="268"/>
      <c r="M116" s="268"/>
      <c r="N116" s="268"/>
      <c r="O116" s="268"/>
      <c r="P116" s="268"/>
      <c r="Q116" s="268"/>
      <c r="R116" s="268"/>
      <c r="S116" s="268"/>
      <c r="T116" s="268"/>
      <c r="U116" s="268"/>
      <c r="V116" s="268"/>
      <c r="W116" s="268"/>
      <c r="X116" s="268"/>
      <c r="Y116" s="268"/>
      <c r="Z116" s="268"/>
      <c r="AA116" s="268"/>
      <c r="AB116" s="268"/>
      <c r="AC116" s="268"/>
      <c r="AD116" s="268"/>
      <c r="AE116" s="268"/>
      <c r="AF116" s="268"/>
      <c r="AG116" s="268"/>
      <c r="AH116" s="268"/>
      <c r="AI116" s="268"/>
      <c r="AJ116" s="268"/>
      <c r="AK116" s="268"/>
      <c r="AL116" s="268"/>
      <c r="AM116" s="188"/>
    </row>
    <row r="117" spans="2:39" hidden="1">
      <c r="B117" s="273"/>
      <c r="C117" s="273"/>
      <c r="D117" s="268"/>
      <c r="E117" s="272"/>
      <c r="F117" s="272"/>
      <c r="G117" s="272"/>
      <c r="H117" s="272"/>
      <c r="I117" s="268"/>
      <c r="J117" s="268"/>
      <c r="K117" s="268"/>
      <c r="L117" s="268"/>
      <c r="M117" s="268"/>
      <c r="N117" s="268"/>
      <c r="O117" s="268"/>
      <c r="P117" s="268"/>
      <c r="Q117" s="268"/>
      <c r="R117" s="268"/>
      <c r="S117" s="268"/>
      <c r="T117" s="268"/>
      <c r="U117" s="268"/>
      <c r="V117" s="268"/>
      <c r="W117" s="268"/>
      <c r="X117" s="268"/>
      <c r="Y117" s="268"/>
      <c r="Z117" s="268"/>
      <c r="AA117" s="268"/>
      <c r="AB117" s="268"/>
      <c r="AC117" s="268"/>
      <c r="AD117" s="268"/>
      <c r="AE117" s="268"/>
      <c r="AF117" s="268"/>
      <c r="AG117" s="268"/>
      <c r="AH117" s="268"/>
      <c r="AI117" s="268"/>
      <c r="AJ117" s="268"/>
      <c r="AK117" s="268"/>
      <c r="AL117" s="268"/>
      <c r="AM117" s="188"/>
    </row>
    <row r="118" spans="2:39" ht="15" hidden="1" collapsed="1">
      <c r="B118" s="274" t="s">
        <v>471</v>
      </c>
      <c r="C118" s="274"/>
      <c r="D118" s="274"/>
      <c r="E118" s="275"/>
      <c r="F118" s="275"/>
      <c r="G118" s="275"/>
      <c r="H118" s="272"/>
      <c r="I118" s="268"/>
      <c r="J118" s="268"/>
      <c r="K118" s="268"/>
      <c r="L118" s="268"/>
      <c r="M118" s="268"/>
      <c r="N118" s="268"/>
      <c r="O118" s="268"/>
      <c r="P118" s="268"/>
      <c r="Q118" s="268"/>
      <c r="R118" s="268"/>
      <c r="S118" s="268"/>
      <c r="T118" s="268"/>
      <c r="U118" s="268"/>
      <c r="V118" s="268"/>
      <c r="W118" s="268"/>
      <c r="X118" s="268"/>
      <c r="Y118" s="268"/>
      <c r="Z118" s="268"/>
      <c r="AA118" s="268"/>
      <c r="AB118" s="268"/>
      <c r="AC118" s="268"/>
      <c r="AD118" s="268"/>
      <c r="AE118" s="268"/>
      <c r="AF118" s="268"/>
      <c r="AG118" s="268"/>
      <c r="AH118" s="268"/>
      <c r="AI118" s="268"/>
      <c r="AJ118" s="268"/>
      <c r="AK118" s="268"/>
      <c r="AL118" s="268"/>
      <c r="AM118" s="188"/>
    </row>
    <row r="119" spans="2:39" hidden="1" outlineLevel="1">
      <c r="B119" s="276"/>
      <c r="C119" s="276"/>
      <c r="D119" s="277" t="s">
        <v>472</v>
      </c>
      <c r="E119" s="272"/>
      <c r="F119" s="272"/>
      <c r="G119" s="272"/>
      <c r="H119" s="272"/>
      <c r="I119" s="268"/>
      <c r="J119" s="268"/>
      <c r="K119" s="268"/>
      <c r="L119" s="268"/>
      <c r="M119" s="268"/>
      <c r="N119" s="268"/>
      <c r="O119" s="268"/>
      <c r="P119" s="268"/>
      <c r="Q119" s="268"/>
      <c r="R119" s="268"/>
      <c r="S119" s="268"/>
      <c r="T119" s="268"/>
      <c r="U119" s="268"/>
      <c r="V119" s="268"/>
      <c r="W119" s="268"/>
      <c r="X119" s="268"/>
      <c r="Y119" s="268"/>
      <c r="Z119" s="268"/>
      <c r="AA119" s="268"/>
      <c r="AB119" s="268"/>
      <c r="AC119" s="268"/>
      <c r="AD119" s="268"/>
      <c r="AE119" s="268"/>
      <c r="AF119" s="268"/>
      <c r="AG119" s="268"/>
      <c r="AH119" s="268"/>
      <c r="AI119" s="268"/>
      <c r="AJ119" s="268"/>
      <c r="AK119" s="268"/>
      <c r="AL119" s="268"/>
      <c r="AM119" s="188"/>
    </row>
    <row r="120" spans="2:39" hidden="1" outlineLevel="1">
      <c r="B120" s="276"/>
      <c r="C120" s="276"/>
      <c r="D120" s="278" t="s">
        <v>473</v>
      </c>
      <c r="E120" s="272"/>
      <c r="F120" s="272"/>
      <c r="G120" s="272"/>
      <c r="H120" s="272"/>
      <c r="I120" s="268"/>
      <c r="J120" s="268"/>
      <c r="K120" s="268"/>
      <c r="L120" s="268"/>
      <c r="M120" s="268"/>
      <c r="N120" s="268"/>
      <c r="O120" s="268"/>
      <c r="P120" s="268"/>
      <c r="Q120" s="268"/>
      <c r="R120" s="268"/>
      <c r="S120" s="268"/>
      <c r="T120" s="268"/>
      <c r="U120" s="268"/>
      <c r="V120" s="268"/>
      <c r="W120" s="268"/>
      <c r="X120" s="268"/>
      <c r="Y120" s="268"/>
      <c r="Z120" s="268"/>
      <c r="AA120" s="268"/>
      <c r="AB120" s="268"/>
      <c r="AC120" s="268"/>
      <c r="AD120" s="268"/>
      <c r="AE120" s="268"/>
      <c r="AF120" s="268"/>
      <c r="AG120" s="268"/>
      <c r="AH120" s="268"/>
      <c r="AI120" s="268"/>
      <c r="AJ120" s="268"/>
      <c r="AK120" s="268"/>
      <c r="AL120" s="268"/>
      <c r="AM120" s="188"/>
    </row>
    <row r="121" spans="2:39" hidden="1" outlineLevel="1">
      <c r="B121" s="276"/>
      <c r="C121" s="276"/>
      <c r="D121" s="279" t="s">
        <v>474</v>
      </c>
      <c r="E121" s="272"/>
      <c r="F121" s="272"/>
      <c r="G121" s="272"/>
      <c r="H121" s="272"/>
      <c r="I121" s="268"/>
      <c r="J121" s="268"/>
      <c r="K121" s="268"/>
      <c r="L121" s="268"/>
      <c r="M121" s="268"/>
      <c r="N121" s="268"/>
      <c r="O121" s="268"/>
      <c r="P121" s="268"/>
      <c r="Q121" s="268"/>
      <c r="R121" s="268"/>
      <c r="S121" s="268"/>
      <c r="T121" s="268"/>
      <c r="U121" s="268"/>
      <c r="V121" s="268"/>
      <c r="W121" s="268"/>
      <c r="X121" s="268"/>
      <c r="Y121" s="268"/>
      <c r="Z121" s="268"/>
      <c r="AA121" s="268"/>
      <c r="AB121" s="268"/>
      <c r="AC121" s="268"/>
      <c r="AD121" s="268"/>
      <c r="AE121" s="268"/>
      <c r="AF121" s="268"/>
      <c r="AG121" s="268"/>
      <c r="AH121" s="268"/>
      <c r="AI121" s="268"/>
      <c r="AJ121" s="268"/>
      <c r="AK121" s="268"/>
      <c r="AL121" s="268"/>
      <c r="AM121" s="188"/>
    </row>
    <row r="122" spans="2:39" hidden="1" outlineLevel="1">
      <c r="B122" s="280"/>
      <c r="C122" s="280"/>
      <c r="D122" s="281" t="s">
        <v>475</v>
      </c>
      <c r="E122" s="272"/>
      <c r="F122" s="272"/>
      <c r="G122" s="272"/>
      <c r="H122" s="272"/>
      <c r="I122" s="268"/>
      <c r="J122" s="268"/>
      <c r="K122" s="268"/>
      <c r="L122" s="268"/>
      <c r="M122" s="268"/>
      <c r="N122" s="268"/>
      <c r="O122" s="268"/>
      <c r="P122" s="268"/>
      <c r="Q122" s="268"/>
      <c r="R122" s="268"/>
      <c r="S122" s="268"/>
      <c r="T122" s="268"/>
      <c r="U122" s="268"/>
      <c r="V122" s="268"/>
      <c r="W122" s="268"/>
      <c r="X122" s="268"/>
      <c r="Y122" s="268"/>
      <c r="Z122" s="268"/>
      <c r="AA122" s="268"/>
      <c r="AB122" s="268"/>
      <c r="AC122" s="268"/>
      <c r="AD122" s="268"/>
      <c r="AE122" s="268"/>
      <c r="AF122" s="268"/>
      <c r="AG122" s="268"/>
      <c r="AH122" s="268"/>
      <c r="AI122" s="268"/>
      <c r="AJ122" s="268"/>
      <c r="AK122" s="268"/>
      <c r="AL122" s="268"/>
      <c r="AM122" s="188"/>
    </row>
    <row r="123" spans="2:39" hidden="1" outlineLevel="2">
      <c r="B123" s="282" t="s">
        <v>476</v>
      </c>
      <c r="C123" s="283" t="s">
        <v>476</v>
      </c>
      <c r="D123" s="284" t="s">
        <v>477</v>
      </c>
      <c r="E123" s="285" t="s">
        <v>204</v>
      </c>
      <c r="F123" s="286" t="s">
        <v>204</v>
      </c>
      <c r="G123" s="286" t="s">
        <v>204</v>
      </c>
      <c r="H123" s="287" t="s">
        <v>204</v>
      </c>
      <c r="I123" s="288" t="str">
        <f t="shared" ref="I123:AL123" si="6">IF(ROUND(I9+I31+I33,2)&gt;=ROUND(I20-I23,2),"TAK","NIE")</f>
        <v>TAK</v>
      </c>
      <c r="J123" s="289" t="str">
        <f t="shared" si="6"/>
        <v>TAK</v>
      </c>
      <c r="K123" s="289" t="str">
        <f t="shared" si="6"/>
        <v>TAK</v>
      </c>
      <c r="L123" s="289" t="str">
        <f t="shared" si="6"/>
        <v>TAK</v>
      </c>
      <c r="M123" s="289" t="str">
        <f t="shared" si="6"/>
        <v>TAK</v>
      </c>
      <c r="N123" s="289" t="str">
        <f t="shared" si="6"/>
        <v>TAK</v>
      </c>
      <c r="O123" s="289" t="str">
        <f t="shared" si="6"/>
        <v>TAK</v>
      </c>
      <c r="P123" s="289" t="str">
        <f t="shared" si="6"/>
        <v>TAK</v>
      </c>
      <c r="Q123" s="289" t="str">
        <f t="shared" si="6"/>
        <v>TAK</v>
      </c>
      <c r="R123" s="289" t="str">
        <f t="shared" si="6"/>
        <v>TAK</v>
      </c>
      <c r="S123" s="289" t="str">
        <f t="shared" si="6"/>
        <v>TAK</v>
      </c>
      <c r="T123" s="289" t="str">
        <f t="shared" si="6"/>
        <v>TAK</v>
      </c>
      <c r="U123" s="289" t="str">
        <f t="shared" si="6"/>
        <v>TAK</v>
      </c>
      <c r="V123" s="289" t="str">
        <f t="shared" si="6"/>
        <v>TAK</v>
      </c>
      <c r="W123" s="289" t="str">
        <f t="shared" si="6"/>
        <v>TAK</v>
      </c>
      <c r="X123" s="289" t="str">
        <f t="shared" si="6"/>
        <v>TAK</v>
      </c>
      <c r="Y123" s="289" t="str">
        <f t="shared" si="6"/>
        <v>TAK</v>
      </c>
      <c r="Z123" s="289" t="str">
        <f t="shared" si="6"/>
        <v>TAK</v>
      </c>
      <c r="AA123" s="289" t="str">
        <f t="shared" si="6"/>
        <v>TAK</v>
      </c>
      <c r="AB123" s="289" t="str">
        <f t="shared" si="6"/>
        <v>TAK</v>
      </c>
      <c r="AC123" s="289" t="str">
        <f t="shared" si="6"/>
        <v>TAK</v>
      </c>
      <c r="AD123" s="289" t="str">
        <f t="shared" si="6"/>
        <v>TAK</v>
      </c>
      <c r="AE123" s="289" t="str">
        <f t="shared" si="6"/>
        <v>TAK</v>
      </c>
      <c r="AF123" s="289" t="str">
        <f t="shared" si="6"/>
        <v>TAK</v>
      </c>
      <c r="AG123" s="289" t="str">
        <f t="shared" si="6"/>
        <v>TAK</v>
      </c>
      <c r="AH123" s="289" t="str">
        <f t="shared" si="6"/>
        <v>TAK</v>
      </c>
      <c r="AI123" s="289" t="str">
        <f t="shared" si="6"/>
        <v>TAK</v>
      </c>
      <c r="AJ123" s="289" t="str">
        <f t="shared" si="6"/>
        <v>TAK</v>
      </c>
      <c r="AK123" s="289" t="str">
        <f t="shared" si="6"/>
        <v>TAK</v>
      </c>
      <c r="AL123" s="290" t="str">
        <f t="shared" si="6"/>
        <v>TAK</v>
      </c>
    </row>
    <row r="124" spans="2:39" ht="36" hidden="1" outlineLevel="2">
      <c r="B124" s="291" t="s">
        <v>478</v>
      </c>
      <c r="C124" s="292" t="s">
        <v>478</v>
      </c>
      <c r="D124" s="293" t="s">
        <v>479</v>
      </c>
      <c r="E124" s="294" t="s">
        <v>204</v>
      </c>
      <c r="F124" s="295" t="s">
        <v>204</v>
      </c>
      <c r="G124" s="295" t="s">
        <v>204</v>
      </c>
      <c r="H124" s="296" t="s">
        <v>204</v>
      </c>
      <c r="I124" s="297" t="s">
        <v>204</v>
      </c>
      <c r="J124" s="298" t="s">
        <v>204</v>
      </c>
      <c r="K124" s="298" t="str">
        <f t="shared" ref="K124:AL124" si="7">IF(K96=0,"TAK","BŁĄD")</f>
        <v>TAK</v>
      </c>
      <c r="L124" s="298" t="str">
        <f t="shared" si="7"/>
        <v>TAK</v>
      </c>
      <c r="M124" s="298" t="str">
        <f t="shared" si="7"/>
        <v>TAK</v>
      </c>
      <c r="N124" s="298" t="str">
        <f t="shared" si="7"/>
        <v>TAK</v>
      </c>
      <c r="O124" s="298" t="str">
        <f t="shared" si="7"/>
        <v>TAK</v>
      </c>
      <c r="P124" s="298" t="str">
        <f t="shared" si="7"/>
        <v>TAK</v>
      </c>
      <c r="Q124" s="298" t="str">
        <f t="shared" si="7"/>
        <v>TAK</v>
      </c>
      <c r="R124" s="298" t="str">
        <f t="shared" si="7"/>
        <v>TAK</v>
      </c>
      <c r="S124" s="298" t="str">
        <f t="shared" si="7"/>
        <v>TAK</v>
      </c>
      <c r="T124" s="298" t="str">
        <f t="shared" si="7"/>
        <v>TAK</v>
      </c>
      <c r="U124" s="298" t="str">
        <f t="shared" si="7"/>
        <v>TAK</v>
      </c>
      <c r="V124" s="298" t="str">
        <f t="shared" si="7"/>
        <v>TAK</v>
      </c>
      <c r="W124" s="298" t="str">
        <f t="shared" si="7"/>
        <v>TAK</v>
      </c>
      <c r="X124" s="298" t="str">
        <f t="shared" si="7"/>
        <v>TAK</v>
      </c>
      <c r="Y124" s="298" t="str">
        <f t="shared" si="7"/>
        <v>TAK</v>
      </c>
      <c r="Z124" s="298" t="str">
        <f t="shared" si="7"/>
        <v>TAK</v>
      </c>
      <c r="AA124" s="298" t="str">
        <f t="shared" si="7"/>
        <v>TAK</v>
      </c>
      <c r="AB124" s="298" t="str">
        <f t="shared" si="7"/>
        <v>TAK</v>
      </c>
      <c r="AC124" s="298" t="str">
        <f t="shared" si="7"/>
        <v>TAK</v>
      </c>
      <c r="AD124" s="298" t="str">
        <f t="shared" si="7"/>
        <v>TAK</v>
      </c>
      <c r="AE124" s="298" t="str">
        <f t="shared" si="7"/>
        <v>TAK</v>
      </c>
      <c r="AF124" s="298" t="str">
        <f t="shared" si="7"/>
        <v>TAK</v>
      </c>
      <c r="AG124" s="298" t="str">
        <f t="shared" si="7"/>
        <v>TAK</v>
      </c>
      <c r="AH124" s="298" t="str">
        <f t="shared" si="7"/>
        <v>TAK</v>
      </c>
      <c r="AI124" s="298" t="str">
        <f t="shared" si="7"/>
        <v>TAK</v>
      </c>
      <c r="AJ124" s="298" t="str">
        <f t="shared" si="7"/>
        <v>TAK</v>
      </c>
      <c r="AK124" s="298" t="str">
        <f t="shared" si="7"/>
        <v>TAK</v>
      </c>
      <c r="AL124" s="299" t="str">
        <f t="shared" si="7"/>
        <v>TAK</v>
      </c>
    </row>
    <row r="125" spans="2:39" hidden="1" outlineLevel="1">
      <c r="B125" s="291" t="s">
        <v>480</v>
      </c>
      <c r="C125" s="292" t="s">
        <v>480</v>
      </c>
      <c r="D125" s="300" t="s">
        <v>481</v>
      </c>
      <c r="E125" s="294" t="s">
        <v>204</v>
      </c>
      <c r="F125" s="295" t="s">
        <v>204</v>
      </c>
      <c r="G125" s="295" t="s">
        <v>204</v>
      </c>
      <c r="H125" s="296" t="s">
        <v>204</v>
      </c>
      <c r="I125" s="301" t="str">
        <f t="shared" ref="I125:AL125" si="8">IF(ROUND(I8+I30-I19-I39,2)=0,"OK",ROUND(I8+I30-I19-I39,2))</f>
        <v>OK</v>
      </c>
      <c r="J125" s="302" t="str">
        <f t="shared" si="8"/>
        <v>OK</v>
      </c>
      <c r="K125" s="302" t="str">
        <f t="shared" si="8"/>
        <v>OK</v>
      </c>
      <c r="L125" s="302" t="str">
        <f t="shared" si="8"/>
        <v>OK</v>
      </c>
      <c r="M125" s="302" t="str">
        <f t="shared" si="8"/>
        <v>OK</v>
      </c>
      <c r="N125" s="302" t="str">
        <f t="shared" si="8"/>
        <v>OK</v>
      </c>
      <c r="O125" s="302" t="str">
        <f t="shared" si="8"/>
        <v>OK</v>
      </c>
      <c r="P125" s="302" t="str">
        <f t="shared" si="8"/>
        <v>OK</v>
      </c>
      <c r="Q125" s="302" t="str">
        <f t="shared" si="8"/>
        <v>OK</v>
      </c>
      <c r="R125" s="302" t="str">
        <f t="shared" si="8"/>
        <v>OK</v>
      </c>
      <c r="S125" s="302" t="str">
        <f t="shared" si="8"/>
        <v>OK</v>
      </c>
      <c r="T125" s="302" t="str">
        <f t="shared" si="8"/>
        <v>OK</v>
      </c>
      <c r="U125" s="302" t="str">
        <f t="shared" si="8"/>
        <v>OK</v>
      </c>
      <c r="V125" s="302" t="str">
        <f t="shared" si="8"/>
        <v>OK</v>
      </c>
      <c r="W125" s="302" t="str">
        <f t="shared" si="8"/>
        <v>OK</v>
      </c>
      <c r="X125" s="302" t="str">
        <f t="shared" si="8"/>
        <v>OK</v>
      </c>
      <c r="Y125" s="302" t="str">
        <f t="shared" si="8"/>
        <v>OK</v>
      </c>
      <c r="Z125" s="302" t="str">
        <f t="shared" si="8"/>
        <v>OK</v>
      </c>
      <c r="AA125" s="302" t="str">
        <f t="shared" si="8"/>
        <v>OK</v>
      </c>
      <c r="AB125" s="302" t="str">
        <f t="shared" si="8"/>
        <v>OK</v>
      </c>
      <c r="AC125" s="302" t="str">
        <f t="shared" si="8"/>
        <v>OK</v>
      </c>
      <c r="AD125" s="302" t="str">
        <f t="shared" si="8"/>
        <v>OK</v>
      </c>
      <c r="AE125" s="302" t="str">
        <f t="shared" si="8"/>
        <v>OK</v>
      </c>
      <c r="AF125" s="302" t="str">
        <f t="shared" si="8"/>
        <v>OK</v>
      </c>
      <c r="AG125" s="302" t="str">
        <f t="shared" si="8"/>
        <v>OK</v>
      </c>
      <c r="AH125" s="302" t="str">
        <f t="shared" si="8"/>
        <v>OK</v>
      </c>
      <c r="AI125" s="302" t="str">
        <f t="shared" si="8"/>
        <v>OK</v>
      </c>
      <c r="AJ125" s="302" t="str">
        <f t="shared" si="8"/>
        <v>OK</v>
      </c>
      <c r="AK125" s="302" t="str">
        <f t="shared" si="8"/>
        <v>OK</v>
      </c>
      <c r="AL125" s="303" t="str">
        <f t="shared" si="8"/>
        <v>OK</v>
      </c>
    </row>
    <row r="126" spans="2:39" hidden="1" outlineLevel="2">
      <c r="B126" s="304" t="s">
        <v>482</v>
      </c>
      <c r="C126" s="305" t="s">
        <v>482</v>
      </c>
      <c r="D126" s="300" t="s">
        <v>483</v>
      </c>
      <c r="E126" s="294" t="s">
        <v>204</v>
      </c>
      <c r="F126" s="295" t="s">
        <v>204</v>
      </c>
      <c r="G126" s="295" t="s">
        <v>204</v>
      </c>
      <c r="H126" s="296" t="s">
        <v>204</v>
      </c>
      <c r="I126" s="301" t="str">
        <f t="shared" ref="I126:AL126" si="9">+IF(ROUND(H46+I35-I40+(I103-H103)+I108-I46,2)=0,"OK",ROUND(H46+I35-I40+(I103-H103)+I108-I46,2))</f>
        <v>OK</v>
      </c>
      <c r="J126" s="302" t="str">
        <f t="shared" si="9"/>
        <v>OK</v>
      </c>
      <c r="K126" s="302" t="str">
        <f t="shared" si="9"/>
        <v>OK</v>
      </c>
      <c r="L126" s="302" t="str">
        <f t="shared" si="9"/>
        <v>OK</v>
      </c>
      <c r="M126" s="302" t="str">
        <f t="shared" si="9"/>
        <v>OK</v>
      </c>
      <c r="N126" s="302" t="str">
        <f t="shared" si="9"/>
        <v>OK</v>
      </c>
      <c r="O126" s="302" t="str">
        <f t="shared" si="9"/>
        <v>OK</v>
      </c>
      <c r="P126" s="302" t="str">
        <f t="shared" si="9"/>
        <v>OK</v>
      </c>
      <c r="Q126" s="302" t="str">
        <f t="shared" si="9"/>
        <v>OK</v>
      </c>
      <c r="R126" s="302" t="str">
        <f t="shared" si="9"/>
        <v>OK</v>
      </c>
      <c r="S126" s="302" t="str">
        <f t="shared" si="9"/>
        <v>OK</v>
      </c>
      <c r="T126" s="302" t="str">
        <f t="shared" si="9"/>
        <v>OK</v>
      </c>
      <c r="U126" s="302" t="str">
        <f t="shared" si="9"/>
        <v>OK</v>
      </c>
      <c r="V126" s="302" t="str">
        <f t="shared" si="9"/>
        <v>OK</v>
      </c>
      <c r="W126" s="302" t="str">
        <f t="shared" si="9"/>
        <v>OK</v>
      </c>
      <c r="X126" s="302" t="str">
        <f t="shared" si="9"/>
        <v>OK</v>
      </c>
      <c r="Y126" s="302" t="str">
        <f t="shared" si="9"/>
        <v>OK</v>
      </c>
      <c r="Z126" s="302" t="str">
        <f t="shared" si="9"/>
        <v>OK</v>
      </c>
      <c r="AA126" s="302" t="str">
        <f t="shared" si="9"/>
        <v>OK</v>
      </c>
      <c r="AB126" s="302" t="str">
        <f t="shared" si="9"/>
        <v>OK</v>
      </c>
      <c r="AC126" s="302" t="str">
        <f t="shared" si="9"/>
        <v>OK</v>
      </c>
      <c r="AD126" s="302" t="str">
        <f t="shared" si="9"/>
        <v>OK</v>
      </c>
      <c r="AE126" s="302" t="str">
        <f t="shared" si="9"/>
        <v>OK</v>
      </c>
      <c r="AF126" s="302" t="str">
        <f t="shared" si="9"/>
        <v>OK</v>
      </c>
      <c r="AG126" s="302" t="str">
        <f t="shared" si="9"/>
        <v>OK</v>
      </c>
      <c r="AH126" s="302" t="str">
        <f t="shared" si="9"/>
        <v>OK</v>
      </c>
      <c r="AI126" s="302" t="str">
        <f t="shared" si="9"/>
        <v>OK</v>
      </c>
      <c r="AJ126" s="302" t="str">
        <f t="shared" si="9"/>
        <v>OK</v>
      </c>
      <c r="AK126" s="302" t="str">
        <f t="shared" si="9"/>
        <v>OK</v>
      </c>
      <c r="AL126" s="303" t="str">
        <f t="shared" si="9"/>
        <v>OK</v>
      </c>
    </row>
    <row r="127" spans="2:39" ht="84" hidden="1" outlineLevel="2">
      <c r="B127" s="304" t="s">
        <v>484</v>
      </c>
      <c r="C127" s="305" t="s">
        <v>484</v>
      </c>
      <c r="D127" s="300" t="s">
        <v>485</v>
      </c>
      <c r="E127" s="306" t="s">
        <v>204</v>
      </c>
      <c r="F127" s="295" t="s">
        <v>204</v>
      </c>
      <c r="G127" s="295" t="s">
        <v>204</v>
      </c>
      <c r="H127" s="296" t="s">
        <v>204</v>
      </c>
      <c r="I127" s="302" t="str">
        <f t="shared" ref="I127:AL127" si="10">+IF(H103=0,"N/D",IF(ROUND(I103+I104-H103,2)=0,"OK",ROUND(I103+I104-H103,2)))</f>
        <v>OK</v>
      </c>
      <c r="J127" s="302" t="str">
        <f t="shared" si="10"/>
        <v>OK</v>
      </c>
      <c r="K127" s="302" t="str">
        <f t="shared" si="10"/>
        <v>OK</v>
      </c>
      <c r="L127" s="302" t="str">
        <f t="shared" si="10"/>
        <v>OK</v>
      </c>
      <c r="M127" s="302" t="str">
        <f t="shared" si="10"/>
        <v>OK</v>
      </c>
      <c r="N127" s="302" t="str">
        <f t="shared" si="10"/>
        <v>N/D</v>
      </c>
      <c r="O127" s="302" t="str">
        <f t="shared" si="10"/>
        <v>N/D</v>
      </c>
      <c r="P127" s="302" t="str">
        <f t="shared" si="10"/>
        <v>N/D</v>
      </c>
      <c r="Q127" s="302" t="str">
        <f t="shared" si="10"/>
        <v>N/D</v>
      </c>
      <c r="R127" s="302" t="str">
        <f t="shared" si="10"/>
        <v>N/D</v>
      </c>
      <c r="S127" s="302" t="str">
        <f t="shared" si="10"/>
        <v>N/D</v>
      </c>
      <c r="T127" s="302" t="str">
        <f t="shared" si="10"/>
        <v>N/D</v>
      </c>
      <c r="U127" s="302" t="str">
        <f t="shared" si="10"/>
        <v>N/D</v>
      </c>
      <c r="V127" s="302" t="str">
        <f t="shared" si="10"/>
        <v>N/D</v>
      </c>
      <c r="W127" s="302" t="str">
        <f t="shared" si="10"/>
        <v>N/D</v>
      </c>
      <c r="X127" s="302" t="str">
        <f t="shared" si="10"/>
        <v>N/D</v>
      </c>
      <c r="Y127" s="302" t="str">
        <f t="shared" si="10"/>
        <v>N/D</v>
      </c>
      <c r="Z127" s="302" t="str">
        <f t="shared" si="10"/>
        <v>N/D</v>
      </c>
      <c r="AA127" s="302" t="str">
        <f t="shared" si="10"/>
        <v>N/D</v>
      </c>
      <c r="AB127" s="302" t="str">
        <f t="shared" si="10"/>
        <v>N/D</v>
      </c>
      <c r="AC127" s="302" t="str">
        <f t="shared" si="10"/>
        <v>N/D</v>
      </c>
      <c r="AD127" s="302" t="str">
        <f t="shared" si="10"/>
        <v>N/D</v>
      </c>
      <c r="AE127" s="302" t="str">
        <f t="shared" si="10"/>
        <v>N/D</v>
      </c>
      <c r="AF127" s="302" t="str">
        <f t="shared" si="10"/>
        <v>N/D</v>
      </c>
      <c r="AG127" s="302" t="str">
        <f t="shared" si="10"/>
        <v>N/D</v>
      </c>
      <c r="AH127" s="302" t="str">
        <f t="shared" si="10"/>
        <v>N/D</v>
      </c>
      <c r="AI127" s="302" t="str">
        <f t="shared" si="10"/>
        <v>N/D</v>
      </c>
      <c r="AJ127" s="302" t="str">
        <f t="shared" si="10"/>
        <v>N/D</v>
      </c>
      <c r="AK127" s="302" t="str">
        <f t="shared" si="10"/>
        <v>N/D</v>
      </c>
      <c r="AL127" s="303" t="str">
        <f t="shared" si="10"/>
        <v>N/D</v>
      </c>
    </row>
    <row r="128" spans="2:39" ht="48" hidden="1" outlineLevel="2">
      <c r="B128" s="304" t="s">
        <v>486</v>
      </c>
      <c r="C128" s="305" t="s">
        <v>486</v>
      </c>
      <c r="D128" s="300" t="s">
        <v>487</v>
      </c>
      <c r="E128" s="294" t="s">
        <v>204</v>
      </c>
      <c r="F128" s="295" t="s">
        <v>204</v>
      </c>
      <c r="G128" s="295" t="s">
        <v>204</v>
      </c>
      <c r="H128" s="296" t="s">
        <v>204</v>
      </c>
      <c r="I128" s="301" t="str">
        <f t="shared" ref="I128:AL128" si="11">+IF(H94=0,"N/D",IF(ROUND(I94+(I96+I97+I98+I99)-H94,2)=0,"OK",ROUND(I94+(I96+I97+I98+I99)-H94,2)))</f>
        <v>N/D</v>
      </c>
      <c r="J128" s="302" t="str">
        <f t="shared" si="11"/>
        <v>N/D</v>
      </c>
      <c r="K128" s="302" t="str">
        <f t="shared" si="11"/>
        <v>N/D</v>
      </c>
      <c r="L128" s="302" t="str">
        <f t="shared" si="11"/>
        <v>N/D</v>
      </c>
      <c r="M128" s="302" t="str">
        <f t="shared" si="11"/>
        <v>N/D</v>
      </c>
      <c r="N128" s="302" t="str">
        <f t="shared" si="11"/>
        <v>N/D</v>
      </c>
      <c r="O128" s="302" t="str">
        <f t="shared" si="11"/>
        <v>N/D</v>
      </c>
      <c r="P128" s="302" t="str">
        <f t="shared" si="11"/>
        <v>N/D</v>
      </c>
      <c r="Q128" s="302" t="str">
        <f t="shared" si="11"/>
        <v>N/D</v>
      </c>
      <c r="R128" s="302" t="str">
        <f t="shared" si="11"/>
        <v>N/D</v>
      </c>
      <c r="S128" s="302" t="str">
        <f t="shared" si="11"/>
        <v>N/D</v>
      </c>
      <c r="T128" s="302" t="str">
        <f t="shared" si="11"/>
        <v>N/D</v>
      </c>
      <c r="U128" s="302" t="str">
        <f t="shared" si="11"/>
        <v>N/D</v>
      </c>
      <c r="V128" s="302" t="str">
        <f t="shared" si="11"/>
        <v>N/D</v>
      </c>
      <c r="W128" s="302" t="str">
        <f t="shared" si="11"/>
        <v>N/D</v>
      </c>
      <c r="X128" s="302" t="str">
        <f t="shared" si="11"/>
        <v>N/D</v>
      </c>
      <c r="Y128" s="302" t="str">
        <f t="shared" si="11"/>
        <v>N/D</v>
      </c>
      <c r="Z128" s="302" t="str">
        <f t="shared" si="11"/>
        <v>N/D</v>
      </c>
      <c r="AA128" s="302" t="str">
        <f t="shared" si="11"/>
        <v>N/D</v>
      </c>
      <c r="AB128" s="302" t="str">
        <f t="shared" si="11"/>
        <v>N/D</v>
      </c>
      <c r="AC128" s="302" t="str">
        <f t="shared" si="11"/>
        <v>N/D</v>
      </c>
      <c r="AD128" s="302" t="str">
        <f t="shared" si="11"/>
        <v>N/D</v>
      </c>
      <c r="AE128" s="302" t="str">
        <f t="shared" si="11"/>
        <v>N/D</v>
      </c>
      <c r="AF128" s="302" t="str">
        <f t="shared" si="11"/>
        <v>N/D</v>
      </c>
      <c r="AG128" s="302" t="str">
        <f t="shared" si="11"/>
        <v>N/D</v>
      </c>
      <c r="AH128" s="302" t="str">
        <f t="shared" si="11"/>
        <v>N/D</v>
      </c>
      <c r="AI128" s="302" t="str">
        <f t="shared" si="11"/>
        <v>N/D</v>
      </c>
      <c r="AJ128" s="302" t="str">
        <f t="shared" si="11"/>
        <v>N/D</v>
      </c>
      <c r="AK128" s="302" t="str">
        <f t="shared" si="11"/>
        <v>N/D</v>
      </c>
      <c r="AL128" s="303" t="str">
        <f t="shared" si="11"/>
        <v>N/D</v>
      </c>
    </row>
    <row r="129" spans="2:38" hidden="1" outlineLevel="1">
      <c r="B129" s="291" t="s">
        <v>488</v>
      </c>
      <c r="C129" s="292" t="s">
        <v>488</v>
      </c>
      <c r="D129" s="307" t="s">
        <v>489</v>
      </c>
      <c r="E129" s="294" t="s">
        <v>204</v>
      </c>
      <c r="F129" s="295" t="s">
        <v>204</v>
      </c>
      <c r="G129" s="295" t="s">
        <v>204</v>
      </c>
      <c r="H129" s="296" t="s">
        <v>204</v>
      </c>
      <c r="I129" s="308" t="str">
        <f t="shared" ref="I129:AL129" si="12">IF(I29&lt;0,IF(ROUND(I32+I34+I36+I38+I29,2)=0,"OK",ROUND(I32+I34+I36+I38+I29,2)),"N/D")</f>
        <v>N/D</v>
      </c>
      <c r="J129" s="309" t="str">
        <f t="shared" si="12"/>
        <v>N/D</v>
      </c>
      <c r="K129" s="309" t="str">
        <f t="shared" si="12"/>
        <v>N/D</v>
      </c>
      <c r="L129" s="309" t="str">
        <f t="shared" si="12"/>
        <v>N/D</v>
      </c>
      <c r="M129" s="309" t="str">
        <f t="shared" si="12"/>
        <v>N/D</v>
      </c>
      <c r="N129" s="309" t="str">
        <f t="shared" si="12"/>
        <v>N/D</v>
      </c>
      <c r="O129" s="309" t="str">
        <f t="shared" si="12"/>
        <v>N/D</v>
      </c>
      <c r="P129" s="309" t="str">
        <f t="shared" si="12"/>
        <v>N/D</v>
      </c>
      <c r="Q129" s="309" t="str">
        <f t="shared" si="12"/>
        <v>N/D</v>
      </c>
      <c r="R129" s="309" t="str">
        <f t="shared" si="12"/>
        <v>N/D</v>
      </c>
      <c r="S129" s="309" t="str">
        <f t="shared" si="12"/>
        <v>N/D</v>
      </c>
      <c r="T129" s="309" t="str">
        <f t="shared" si="12"/>
        <v>N/D</v>
      </c>
      <c r="U129" s="309" t="str">
        <f t="shared" si="12"/>
        <v>N/D</v>
      </c>
      <c r="V129" s="309" t="str">
        <f t="shared" si="12"/>
        <v>N/D</v>
      </c>
      <c r="W129" s="309" t="str">
        <f t="shared" si="12"/>
        <v>N/D</v>
      </c>
      <c r="X129" s="309" t="str">
        <f t="shared" si="12"/>
        <v>N/D</v>
      </c>
      <c r="Y129" s="309" t="str">
        <f t="shared" si="12"/>
        <v>N/D</v>
      </c>
      <c r="Z129" s="309" t="str">
        <f t="shared" si="12"/>
        <v>N/D</v>
      </c>
      <c r="AA129" s="309" t="str">
        <f t="shared" si="12"/>
        <v>N/D</v>
      </c>
      <c r="AB129" s="309" t="str">
        <f t="shared" si="12"/>
        <v>N/D</v>
      </c>
      <c r="AC129" s="309" t="str">
        <f t="shared" si="12"/>
        <v>N/D</v>
      </c>
      <c r="AD129" s="309" t="str">
        <f t="shared" si="12"/>
        <v>N/D</v>
      </c>
      <c r="AE129" s="309" t="str">
        <f t="shared" si="12"/>
        <v>N/D</v>
      </c>
      <c r="AF129" s="309" t="str">
        <f t="shared" si="12"/>
        <v>N/D</v>
      </c>
      <c r="AG129" s="309" t="str">
        <f t="shared" si="12"/>
        <v>N/D</v>
      </c>
      <c r="AH129" s="309" t="str">
        <f t="shared" si="12"/>
        <v>N/D</v>
      </c>
      <c r="AI129" s="309" t="str">
        <f t="shared" si="12"/>
        <v>N/D</v>
      </c>
      <c r="AJ129" s="309" t="str">
        <f t="shared" si="12"/>
        <v>N/D</v>
      </c>
      <c r="AK129" s="309" t="str">
        <f t="shared" si="12"/>
        <v>N/D</v>
      </c>
      <c r="AL129" s="310" t="str">
        <f t="shared" si="12"/>
        <v>N/D</v>
      </c>
    </row>
    <row r="130" spans="2:38" ht="24" hidden="1" outlineLevel="2">
      <c r="B130" s="291" t="s">
        <v>490</v>
      </c>
      <c r="C130" s="292" t="s">
        <v>490</v>
      </c>
      <c r="D130" s="307" t="s">
        <v>491</v>
      </c>
      <c r="E130" s="294" t="s">
        <v>204</v>
      </c>
      <c r="F130" s="295" t="s">
        <v>204</v>
      </c>
      <c r="G130" s="295" t="s">
        <v>204</v>
      </c>
      <c r="H130" s="296" t="s">
        <v>204</v>
      </c>
      <c r="I130" s="308" t="str">
        <f t="shared" ref="I130:AL130" si="13">IF(I29&gt;=0,IF(ROUND(I32+I34+I36+I38,2)=0,"OK",ROUND(I32+I34+I36+I38,2)),"N/D")</f>
        <v>OK</v>
      </c>
      <c r="J130" s="309" t="str">
        <f t="shared" si="13"/>
        <v>OK</v>
      </c>
      <c r="K130" s="309" t="str">
        <f t="shared" si="13"/>
        <v>OK</v>
      </c>
      <c r="L130" s="309" t="str">
        <f t="shared" si="13"/>
        <v>OK</v>
      </c>
      <c r="M130" s="309" t="str">
        <f t="shared" si="13"/>
        <v>OK</v>
      </c>
      <c r="N130" s="309" t="str">
        <f t="shared" si="13"/>
        <v>OK</v>
      </c>
      <c r="O130" s="309" t="str">
        <f t="shared" si="13"/>
        <v>OK</v>
      </c>
      <c r="P130" s="309" t="str">
        <f t="shared" si="13"/>
        <v>OK</v>
      </c>
      <c r="Q130" s="309" t="str">
        <f t="shared" si="13"/>
        <v>OK</v>
      </c>
      <c r="R130" s="309" t="str">
        <f t="shared" si="13"/>
        <v>OK</v>
      </c>
      <c r="S130" s="309" t="str">
        <f t="shared" si="13"/>
        <v>OK</v>
      </c>
      <c r="T130" s="309" t="str">
        <f t="shared" si="13"/>
        <v>OK</v>
      </c>
      <c r="U130" s="309" t="str">
        <f t="shared" si="13"/>
        <v>OK</v>
      </c>
      <c r="V130" s="309" t="str">
        <f t="shared" si="13"/>
        <v>OK</v>
      </c>
      <c r="W130" s="309" t="str">
        <f t="shared" si="13"/>
        <v>OK</v>
      </c>
      <c r="X130" s="309" t="str">
        <f t="shared" si="13"/>
        <v>OK</v>
      </c>
      <c r="Y130" s="309" t="str">
        <f t="shared" si="13"/>
        <v>OK</v>
      </c>
      <c r="Z130" s="309" t="str">
        <f t="shared" si="13"/>
        <v>OK</v>
      </c>
      <c r="AA130" s="309" t="str">
        <f t="shared" si="13"/>
        <v>OK</v>
      </c>
      <c r="AB130" s="309" t="str">
        <f t="shared" si="13"/>
        <v>OK</v>
      </c>
      <c r="AC130" s="309" t="str">
        <f t="shared" si="13"/>
        <v>OK</v>
      </c>
      <c r="AD130" s="309" t="str">
        <f t="shared" si="13"/>
        <v>OK</v>
      </c>
      <c r="AE130" s="309" t="str">
        <f t="shared" si="13"/>
        <v>OK</v>
      </c>
      <c r="AF130" s="309" t="str">
        <f t="shared" si="13"/>
        <v>OK</v>
      </c>
      <c r="AG130" s="309" t="str">
        <f t="shared" si="13"/>
        <v>OK</v>
      </c>
      <c r="AH130" s="309" t="str">
        <f t="shared" si="13"/>
        <v>OK</v>
      </c>
      <c r="AI130" s="309" t="str">
        <f t="shared" si="13"/>
        <v>OK</v>
      </c>
      <c r="AJ130" s="309" t="str">
        <f t="shared" si="13"/>
        <v>OK</v>
      </c>
      <c r="AK130" s="309" t="str">
        <f t="shared" si="13"/>
        <v>OK</v>
      </c>
      <c r="AL130" s="310" t="str">
        <f t="shared" si="13"/>
        <v>OK</v>
      </c>
    </row>
    <row r="131" spans="2:38" hidden="1" outlineLevel="2">
      <c r="B131" s="291" t="s">
        <v>492</v>
      </c>
      <c r="C131" s="292" t="s">
        <v>492</v>
      </c>
      <c r="D131" s="307" t="s">
        <v>493</v>
      </c>
      <c r="E131" s="294" t="s">
        <v>204</v>
      </c>
      <c r="F131" s="295" t="s">
        <v>204</v>
      </c>
      <c r="G131" s="295" t="s">
        <v>204</v>
      </c>
      <c r="H131" s="296" t="s">
        <v>204</v>
      </c>
      <c r="I131" s="297" t="str">
        <f t="shared" ref="I131:AL131" si="14">IF(I12&gt;=I13,"OK","BŁĄD")</f>
        <v>OK</v>
      </c>
      <c r="J131" s="298" t="str">
        <f t="shared" si="14"/>
        <v>OK</v>
      </c>
      <c r="K131" s="298" t="str">
        <f t="shared" si="14"/>
        <v>OK</v>
      </c>
      <c r="L131" s="298" t="str">
        <f t="shared" si="14"/>
        <v>OK</v>
      </c>
      <c r="M131" s="298" t="str">
        <f t="shared" si="14"/>
        <v>OK</v>
      </c>
      <c r="N131" s="298" t="str">
        <f t="shared" si="14"/>
        <v>OK</v>
      </c>
      <c r="O131" s="298" t="str">
        <f t="shared" si="14"/>
        <v>OK</v>
      </c>
      <c r="P131" s="298" t="str">
        <f t="shared" si="14"/>
        <v>OK</v>
      </c>
      <c r="Q131" s="298" t="str">
        <f t="shared" si="14"/>
        <v>OK</v>
      </c>
      <c r="R131" s="298" t="str">
        <f t="shared" si="14"/>
        <v>OK</v>
      </c>
      <c r="S131" s="298" t="str">
        <f t="shared" si="14"/>
        <v>OK</v>
      </c>
      <c r="T131" s="298" t="str">
        <f t="shared" si="14"/>
        <v>OK</v>
      </c>
      <c r="U131" s="298" t="str">
        <f t="shared" si="14"/>
        <v>OK</v>
      </c>
      <c r="V131" s="298" t="str">
        <f t="shared" si="14"/>
        <v>OK</v>
      </c>
      <c r="W131" s="298" t="str">
        <f t="shared" si="14"/>
        <v>OK</v>
      </c>
      <c r="X131" s="298" t="str">
        <f t="shared" si="14"/>
        <v>OK</v>
      </c>
      <c r="Y131" s="298" t="str">
        <f t="shared" si="14"/>
        <v>OK</v>
      </c>
      <c r="Z131" s="298" t="str">
        <f t="shared" si="14"/>
        <v>OK</v>
      </c>
      <c r="AA131" s="298" t="str">
        <f t="shared" si="14"/>
        <v>OK</v>
      </c>
      <c r="AB131" s="298" t="str">
        <f t="shared" si="14"/>
        <v>OK</v>
      </c>
      <c r="AC131" s="298" t="str">
        <f t="shared" si="14"/>
        <v>OK</v>
      </c>
      <c r="AD131" s="298" t="str">
        <f t="shared" si="14"/>
        <v>OK</v>
      </c>
      <c r="AE131" s="298" t="str">
        <f t="shared" si="14"/>
        <v>OK</v>
      </c>
      <c r="AF131" s="298" t="str">
        <f t="shared" si="14"/>
        <v>OK</v>
      </c>
      <c r="AG131" s="298" t="str">
        <f t="shared" si="14"/>
        <v>OK</v>
      </c>
      <c r="AH131" s="298" t="str">
        <f t="shared" si="14"/>
        <v>OK</v>
      </c>
      <c r="AI131" s="298" t="str">
        <f t="shared" si="14"/>
        <v>OK</v>
      </c>
      <c r="AJ131" s="298" t="str">
        <f t="shared" si="14"/>
        <v>OK</v>
      </c>
      <c r="AK131" s="298" t="str">
        <f t="shared" si="14"/>
        <v>OK</v>
      </c>
      <c r="AL131" s="299" t="str">
        <f t="shared" si="14"/>
        <v>OK</v>
      </c>
    </row>
    <row r="132" spans="2:38" hidden="1" outlineLevel="2">
      <c r="B132" s="291" t="s">
        <v>494</v>
      </c>
      <c r="C132" s="292" t="s">
        <v>494</v>
      </c>
      <c r="D132" s="307" t="s">
        <v>495</v>
      </c>
      <c r="E132" s="294" t="s">
        <v>204</v>
      </c>
      <c r="F132" s="295" t="s">
        <v>204</v>
      </c>
      <c r="G132" s="295" t="s">
        <v>204</v>
      </c>
      <c r="H132" s="296" t="s">
        <v>204</v>
      </c>
      <c r="I132" s="297" t="str">
        <f t="shared" ref="I132:AL132" si="15">IF(I15&gt;=I95,"OK","BŁĄD")</f>
        <v>OK</v>
      </c>
      <c r="J132" s="298" t="str">
        <f t="shared" si="15"/>
        <v>OK</v>
      </c>
      <c r="K132" s="298" t="str">
        <f t="shared" si="15"/>
        <v>OK</v>
      </c>
      <c r="L132" s="298" t="str">
        <f t="shared" si="15"/>
        <v>OK</v>
      </c>
      <c r="M132" s="298" t="str">
        <f t="shared" si="15"/>
        <v>OK</v>
      </c>
      <c r="N132" s="298" t="str">
        <f t="shared" si="15"/>
        <v>OK</v>
      </c>
      <c r="O132" s="298" t="str">
        <f t="shared" si="15"/>
        <v>OK</v>
      </c>
      <c r="P132" s="298" t="str">
        <f t="shared" si="15"/>
        <v>OK</v>
      </c>
      <c r="Q132" s="298" t="str">
        <f t="shared" si="15"/>
        <v>OK</v>
      </c>
      <c r="R132" s="298" t="str">
        <f t="shared" si="15"/>
        <v>OK</v>
      </c>
      <c r="S132" s="298" t="str">
        <f t="shared" si="15"/>
        <v>OK</v>
      </c>
      <c r="T132" s="298" t="str">
        <f t="shared" si="15"/>
        <v>OK</v>
      </c>
      <c r="U132" s="298" t="str">
        <f t="shared" si="15"/>
        <v>OK</v>
      </c>
      <c r="V132" s="298" t="str">
        <f t="shared" si="15"/>
        <v>OK</v>
      </c>
      <c r="W132" s="298" t="str">
        <f t="shared" si="15"/>
        <v>OK</v>
      </c>
      <c r="X132" s="298" t="str">
        <f t="shared" si="15"/>
        <v>OK</v>
      </c>
      <c r="Y132" s="298" t="str">
        <f t="shared" si="15"/>
        <v>OK</v>
      </c>
      <c r="Z132" s="298" t="str">
        <f t="shared" si="15"/>
        <v>OK</v>
      </c>
      <c r="AA132" s="298" t="str">
        <f t="shared" si="15"/>
        <v>OK</v>
      </c>
      <c r="AB132" s="298" t="str">
        <f t="shared" si="15"/>
        <v>OK</v>
      </c>
      <c r="AC132" s="298" t="str">
        <f t="shared" si="15"/>
        <v>OK</v>
      </c>
      <c r="AD132" s="298" t="str">
        <f t="shared" si="15"/>
        <v>OK</v>
      </c>
      <c r="AE132" s="298" t="str">
        <f t="shared" si="15"/>
        <v>OK</v>
      </c>
      <c r="AF132" s="298" t="str">
        <f t="shared" si="15"/>
        <v>OK</v>
      </c>
      <c r="AG132" s="298" t="str">
        <f t="shared" si="15"/>
        <v>OK</v>
      </c>
      <c r="AH132" s="298" t="str">
        <f t="shared" si="15"/>
        <v>OK</v>
      </c>
      <c r="AI132" s="298" t="str">
        <f t="shared" si="15"/>
        <v>OK</v>
      </c>
      <c r="AJ132" s="298" t="str">
        <f t="shared" si="15"/>
        <v>OK</v>
      </c>
      <c r="AK132" s="298" t="str">
        <f t="shared" si="15"/>
        <v>OK</v>
      </c>
      <c r="AL132" s="299" t="str">
        <f t="shared" si="15"/>
        <v>OK</v>
      </c>
    </row>
    <row r="133" spans="2:38" ht="24" hidden="1" outlineLevel="2">
      <c r="B133" s="291" t="s">
        <v>496</v>
      </c>
      <c r="C133" s="292" t="s">
        <v>496</v>
      </c>
      <c r="D133" s="307" t="s">
        <v>497</v>
      </c>
      <c r="E133" s="294" t="s">
        <v>204</v>
      </c>
      <c r="F133" s="295" t="s">
        <v>204</v>
      </c>
      <c r="G133" s="295" t="s">
        <v>204</v>
      </c>
      <c r="H133" s="296" t="s">
        <v>204</v>
      </c>
      <c r="I133" s="297" t="str">
        <f t="shared" ref="I133:AL133" si="16">IF(I9&gt;=I10+I11+I12+I14+I15,"OK","BŁĄD")</f>
        <v>OK</v>
      </c>
      <c r="J133" s="298" t="str">
        <f t="shared" si="16"/>
        <v>OK</v>
      </c>
      <c r="K133" s="298" t="str">
        <f t="shared" si="16"/>
        <v>OK</v>
      </c>
      <c r="L133" s="298" t="str">
        <f t="shared" si="16"/>
        <v>OK</v>
      </c>
      <c r="M133" s="298" t="str">
        <f t="shared" si="16"/>
        <v>OK</v>
      </c>
      <c r="N133" s="298" t="str">
        <f t="shared" si="16"/>
        <v>OK</v>
      </c>
      <c r="O133" s="298" t="str">
        <f t="shared" si="16"/>
        <v>OK</v>
      </c>
      <c r="P133" s="298" t="str">
        <f t="shared" si="16"/>
        <v>OK</v>
      </c>
      <c r="Q133" s="298" t="str">
        <f t="shared" si="16"/>
        <v>OK</v>
      </c>
      <c r="R133" s="298" t="str">
        <f t="shared" si="16"/>
        <v>OK</v>
      </c>
      <c r="S133" s="298" t="str">
        <f t="shared" si="16"/>
        <v>OK</v>
      </c>
      <c r="T133" s="298" t="str">
        <f t="shared" si="16"/>
        <v>OK</v>
      </c>
      <c r="U133" s="298" t="str">
        <f t="shared" si="16"/>
        <v>OK</v>
      </c>
      <c r="V133" s="298" t="str">
        <f t="shared" si="16"/>
        <v>OK</v>
      </c>
      <c r="W133" s="298" t="str">
        <f t="shared" si="16"/>
        <v>OK</v>
      </c>
      <c r="X133" s="298" t="str">
        <f t="shared" si="16"/>
        <v>OK</v>
      </c>
      <c r="Y133" s="298" t="str">
        <f t="shared" si="16"/>
        <v>OK</v>
      </c>
      <c r="Z133" s="298" t="str">
        <f t="shared" si="16"/>
        <v>OK</v>
      </c>
      <c r="AA133" s="298" t="str">
        <f t="shared" si="16"/>
        <v>OK</v>
      </c>
      <c r="AB133" s="298" t="str">
        <f t="shared" si="16"/>
        <v>OK</v>
      </c>
      <c r="AC133" s="298" t="str">
        <f t="shared" si="16"/>
        <v>OK</v>
      </c>
      <c r="AD133" s="298" t="str">
        <f t="shared" si="16"/>
        <v>OK</v>
      </c>
      <c r="AE133" s="298" t="str">
        <f t="shared" si="16"/>
        <v>OK</v>
      </c>
      <c r="AF133" s="298" t="str">
        <f t="shared" si="16"/>
        <v>OK</v>
      </c>
      <c r="AG133" s="298" t="str">
        <f t="shared" si="16"/>
        <v>OK</v>
      </c>
      <c r="AH133" s="298" t="str">
        <f t="shared" si="16"/>
        <v>OK</v>
      </c>
      <c r="AI133" s="298" t="str">
        <f t="shared" si="16"/>
        <v>OK</v>
      </c>
      <c r="AJ133" s="298" t="str">
        <f t="shared" si="16"/>
        <v>OK</v>
      </c>
      <c r="AK133" s="298" t="str">
        <f t="shared" si="16"/>
        <v>OK</v>
      </c>
      <c r="AL133" s="299" t="str">
        <f t="shared" si="16"/>
        <v>OK</v>
      </c>
    </row>
    <row r="134" spans="2:38" hidden="1" outlineLevel="2">
      <c r="B134" s="291" t="s">
        <v>498</v>
      </c>
      <c r="C134" s="292" t="s">
        <v>498</v>
      </c>
      <c r="D134" s="307" t="s">
        <v>499</v>
      </c>
      <c r="E134" s="294" t="s">
        <v>204</v>
      </c>
      <c r="F134" s="295" t="s">
        <v>204</v>
      </c>
      <c r="G134" s="295" t="s">
        <v>204</v>
      </c>
      <c r="H134" s="296" t="s">
        <v>204</v>
      </c>
      <c r="I134" s="297" t="str">
        <f t="shared" ref="I134:AL134" si="17">IF(I9&gt;=I73,"OK","BŁĄD")</f>
        <v>OK</v>
      </c>
      <c r="J134" s="298" t="str">
        <f t="shared" si="17"/>
        <v>OK</v>
      </c>
      <c r="K134" s="298" t="str">
        <f t="shared" si="17"/>
        <v>OK</v>
      </c>
      <c r="L134" s="298" t="str">
        <f t="shared" si="17"/>
        <v>OK</v>
      </c>
      <c r="M134" s="298" t="str">
        <f t="shared" si="17"/>
        <v>OK</v>
      </c>
      <c r="N134" s="298" t="str">
        <f t="shared" si="17"/>
        <v>OK</v>
      </c>
      <c r="O134" s="298" t="str">
        <f t="shared" si="17"/>
        <v>OK</v>
      </c>
      <c r="P134" s="298" t="str">
        <f t="shared" si="17"/>
        <v>OK</v>
      </c>
      <c r="Q134" s="298" t="str">
        <f t="shared" si="17"/>
        <v>OK</v>
      </c>
      <c r="R134" s="298" t="str">
        <f t="shared" si="17"/>
        <v>OK</v>
      </c>
      <c r="S134" s="298" t="str">
        <f t="shared" si="17"/>
        <v>OK</v>
      </c>
      <c r="T134" s="298" t="str">
        <f t="shared" si="17"/>
        <v>OK</v>
      </c>
      <c r="U134" s="298" t="str">
        <f t="shared" si="17"/>
        <v>OK</v>
      </c>
      <c r="V134" s="298" t="str">
        <f t="shared" si="17"/>
        <v>OK</v>
      </c>
      <c r="W134" s="298" t="str">
        <f t="shared" si="17"/>
        <v>OK</v>
      </c>
      <c r="X134" s="298" t="str">
        <f t="shared" si="17"/>
        <v>OK</v>
      </c>
      <c r="Y134" s="298" t="str">
        <f t="shared" si="17"/>
        <v>OK</v>
      </c>
      <c r="Z134" s="298" t="str">
        <f t="shared" si="17"/>
        <v>OK</v>
      </c>
      <c r="AA134" s="298" t="str">
        <f t="shared" si="17"/>
        <v>OK</v>
      </c>
      <c r="AB134" s="298" t="str">
        <f t="shared" si="17"/>
        <v>OK</v>
      </c>
      <c r="AC134" s="298" t="str">
        <f t="shared" si="17"/>
        <v>OK</v>
      </c>
      <c r="AD134" s="298" t="str">
        <f t="shared" si="17"/>
        <v>OK</v>
      </c>
      <c r="AE134" s="298" t="str">
        <f t="shared" si="17"/>
        <v>OK</v>
      </c>
      <c r="AF134" s="298" t="str">
        <f t="shared" si="17"/>
        <v>OK</v>
      </c>
      <c r="AG134" s="298" t="str">
        <f t="shared" si="17"/>
        <v>OK</v>
      </c>
      <c r="AH134" s="298" t="str">
        <f t="shared" si="17"/>
        <v>OK</v>
      </c>
      <c r="AI134" s="298" t="str">
        <f t="shared" si="17"/>
        <v>OK</v>
      </c>
      <c r="AJ134" s="298" t="str">
        <f t="shared" si="17"/>
        <v>OK</v>
      </c>
      <c r="AK134" s="298" t="str">
        <f t="shared" si="17"/>
        <v>OK</v>
      </c>
      <c r="AL134" s="299" t="str">
        <f t="shared" si="17"/>
        <v>OK</v>
      </c>
    </row>
    <row r="135" spans="2:38" hidden="1" outlineLevel="2">
      <c r="B135" s="291" t="s">
        <v>500</v>
      </c>
      <c r="C135" s="292" t="s">
        <v>500</v>
      </c>
      <c r="D135" s="307" t="s">
        <v>501</v>
      </c>
      <c r="E135" s="294" t="s">
        <v>204</v>
      </c>
      <c r="F135" s="295" t="s">
        <v>204</v>
      </c>
      <c r="G135" s="295" t="s">
        <v>204</v>
      </c>
      <c r="H135" s="296" t="s">
        <v>204</v>
      </c>
      <c r="I135" s="297" t="str">
        <f t="shared" ref="I135:AL135" si="18">IF(I16&gt;=I17,"OK","BŁĄD")</f>
        <v>OK</v>
      </c>
      <c r="J135" s="298" t="str">
        <f t="shared" si="18"/>
        <v>OK</v>
      </c>
      <c r="K135" s="298" t="str">
        <f t="shared" si="18"/>
        <v>OK</v>
      </c>
      <c r="L135" s="298" t="str">
        <f t="shared" si="18"/>
        <v>OK</v>
      </c>
      <c r="M135" s="298" t="str">
        <f t="shared" si="18"/>
        <v>OK</v>
      </c>
      <c r="N135" s="298" t="str">
        <f t="shared" si="18"/>
        <v>OK</v>
      </c>
      <c r="O135" s="298" t="str">
        <f t="shared" si="18"/>
        <v>OK</v>
      </c>
      <c r="P135" s="298" t="str">
        <f t="shared" si="18"/>
        <v>OK</v>
      </c>
      <c r="Q135" s="298" t="str">
        <f t="shared" si="18"/>
        <v>OK</v>
      </c>
      <c r="R135" s="298" t="str">
        <f t="shared" si="18"/>
        <v>OK</v>
      </c>
      <c r="S135" s="298" t="str">
        <f t="shared" si="18"/>
        <v>OK</v>
      </c>
      <c r="T135" s="298" t="str">
        <f t="shared" si="18"/>
        <v>OK</v>
      </c>
      <c r="U135" s="298" t="str">
        <f t="shared" si="18"/>
        <v>OK</v>
      </c>
      <c r="V135" s="298" t="str">
        <f t="shared" si="18"/>
        <v>OK</v>
      </c>
      <c r="W135" s="298" t="str">
        <f t="shared" si="18"/>
        <v>OK</v>
      </c>
      <c r="X135" s="298" t="str">
        <f t="shared" si="18"/>
        <v>OK</v>
      </c>
      <c r="Y135" s="298" t="str">
        <f t="shared" si="18"/>
        <v>OK</v>
      </c>
      <c r="Z135" s="298" t="str">
        <f t="shared" si="18"/>
        <v>OK</v>
      </c>
      <c r="AA135" s="298" t="str">
        <f t="shared" si="18"/>
        <v>OK</v>
      </c>
      <c r="AB135" s="298" t="str">
        <f t="shared" si="18"/>
        <v>OK</v>
      </c>
      <c r="AC135" s="298" t="str">
        <f t="shared" si="18"/>
        <v>OK</v>
      </c>
      <c r="AD135" s="298" t="str">
        <f t="shared" si="18"/>
        <v>OK</v>
      </c>
      <c r="AE135" s="298" t="str">
        <f t="shared" si="18"/>
        <v>OK</v>
      </c>
      <c r="AF135" s="298" t="str">
        <f t="shared" si="18"/>
        <v>OK</v>
      </c>
      <c r="AG135" s="298" t="str">
        <f t="shared" si="18"/>
        <v>OK</v>
      </c>
      <c r="AH135" s="298" t="str">
        <f t="shared" si="18"/>
        <v>OK</v>
      </c>
      <c r="AI135" s="298" t="str">
        <f t="shared" si="18"/>
        <v>OK</v>
      </c>
      <c r="AJ135" s="298" t="str">
        <f t="shared" si="18"/>
        <v>OK</v>
      </c>
      <c r="AK135" s="298" t="str">
        <f t="shared" si="18"/>
        <v>OK</v>
      </c>
      <c r="AL135" s="299" t="str">
        <f t="shared" si="18"/>
        <v>OK</v>
      </c>
    </row>
    <row r="136" spans="2:38" hidden="1" outlineLevel="2">
      <c r="B136" s="291" t="s">
        <v>502</v>
      </c>
      <c r="C136" s="292" t="s">
        <v>502</v>
      </c>
      <c r="D136" s="307" t="s">
        <v>503</v>
      </c>
      <c r="E136" s="294" t="s">
        <v>204</v>
      </c>
      <c r="F136" s="295" t="s">
        <v>204</v>
      </c>
      <c r="G136" s="295" t="s">
        <v>204</v>
      </c>
      <c r="H136" s="296" t="s">
        <v>204</v>
      </c>
      <c r="I136" s="297" t="str">
        <f t="shared" ref="I136:AL136" si="19">IF(I16&gt;=I18,"OK","BŁĄD")</f>
        <v>OK</v>
      </c>
      <c r="J136" s="298" t="str">
        <f t="shared" si="19"/>
        <v>OK</v>
      </c>
      <c r="K136" s="298" t="str">
        <f t="shared" si="19"/>
        <v>OK</v>
      </c>
      <c r="L136" s="298" t="str">
        <f t="shared" si="19"/>
        <v>OK</v>
      </c>
      <c r="M136" s="298" t="str">
        <f t="shared" si="19"/>
        <v>OK</v>
      </c>
      <c r="N136" s="298" t="str">
        <f t="shared" si="19"/>
        <v>OK</v>
      </c>
      <c r="O136" s="298" t="str">
        <f t="shared" si="19"/>
        <v>OK</v>
      </c>
      <c r="P136" s="298" t="str">
        <f t="shared" si="19"/>
        <v>OK</v>
      </c>
      <c r="Q136" s="298" t="str">
        <f t="shared" si="19"/>
        <v>OK</v>
      </c>
      <c r="R136" s="298" t="str">
        <f t="shared" si="19"/>
        <v>OK</v>
      </c>
      <c r="S136" s="298" t="str">
        <f t="shared" si="19"/>
        <v>OK</v>
      </c>
      <c r="T136" s="298" t="str">
        <f t="shared" si="19"/>
        <v>OK</v>
      </c>
      <c r="U136" s="298" t="str">
        <f t="shared" si="19"/>
        <v>OK</v>
      </c>
      <c r="V136" s="298" t="str">
        <f t="shared" si="19"/>
        <v>OK</v>
      </c>
      <c r="W136" s="298" t="str">
        <f t="shared" si="19"/>
        <v>OK</v>
      </c>
      <c r="X136" s="298" t="str">
        <f t="shared" si="19"/>
        <v>OK</v>
      </c>
      <c r="Y136" s="298" t="str">
        <f t="shared" si="19"/>
        <v>OK</v>
      </c>
      <c r="Z136" s="298" t="str">
        <f t="shared" si="19"/>
        <v>OK</v>
      </c>
      <c r="AA136" s="298" t="str">
        <f t="shared" si="19"/>
        <v>OK</v>
      </c>
      <c r="AB136" s="298" t="str">
        <f t="shared" si="19"/>
        <v>OK</v>
      </c>
      <c r="AC136" s="298" t="str">
        <f t="shared" si="19"/>
        <v>OK</v>
      </c>
      <c r="AD136" s="298" t="str">
        <f t="shared" si="19"/>
        <v>OK</v>
      </c>
      <c r="AE136" s="298" t="str">
        <f t="shared" si="19"/>
        <v>OK</v>
      </c>
      <c r="AF136" s="298" t="str">
        <f t="shared" si="19"/>
        <v>OK</v>
      </c>
      <c r="AG136" s="298" t="str">
        <f t="shared" si="19"/>
        <v>OK</v>
      </c>
      <c r="AH136" s="298" t="str">
        <f t="shared" si="19"/>
        <v>OK</v>
      </c>
      <c r="AI136" s="298" t="str">
        <f t="shared" si="19"/>
        <v>OK</v>
      </c>
      <c r="AJ136" s="298" t="str">
        <f t="shared" si="19"/>
        <v>OK</v>
      </c>
      <c r="AK136" s="298" t="str">
        <f t="shared" si="19"/>
        <v>OK</v>
      </c>
      <c r="AL136" s="299" t="str">
        <f t="shared" si="19"/>
        <v>OK</v>
      </c>
    </row>
    <row r="137" spans="2:38" hidden="1" outlineLevel="2">
      <c r="B137" s="291" t="s">
        <v>504</v>
      </c>
      <c r="C137" s="292" t="s">
        <v>504</v>
      </c>
      <c r="D137" s="307" t="s">
        <v>505</v>
      </c>
      <c r="E137" s="294" t="s">
        <v>204</v>
      </c>
      <c r="F137" s="295" t="s">
        <v>204</v>
      </c>
      <c r="G137" s="295" t="s">
        <v>204</v>
      </c>
      <c r="H137" s="296" t="s">
        <v>204</v>
      </c>
      <c r="I137" s="297" t="str">
        <f t="shared" ref="I137:AL137" si="20">IF(I16&gt;=I76,"OK","BŁĄD")</f>
        <v>OK</v>
      </c>
      <c r="J137" s="298" t="str">
        <f t="shared" si="20"/>
        <v>OK</v>
      </c>
      <c r="K137" s="298" t="str">
        <f t="shared" si="20"/>
        <v>OK</v>
      </c>
      <c r="L137" s="298" t="str">
        <f t="shared" si="20"/>
        <v>OK</v>
      </c>
      <c r="M137" s="298" t="str">
        <f t="shared" si="20"/>
        <v>OK</v>
      </c>
      <c r="N137" s="298" t="str">
        <f t="shared" si="20"/>
        <v>OK</v>
      </c>
      <c r="O137" s="298" t="str">
        <f t="shared" si="20"/>
        <v>OK</v>
      </c>
      <c r="P137" s="298" t="str">
        <f t="shared" si="20"/>
        <v>OK</v>
      </c>
      <c r="Q137" s="298" t="str">
        <f t="shared" si="20"/>
        <v>OK</v>
      </c>
      <c r="R137" s="298" t="str">
        <f t="shared" si="20"/>
        <v>OK</v>
      </c>
      <c r="S137" s="298" t="str">
        <f t="shared" si="20"/>
        <v>OK</v>
      </c>
      <c r="T137" s="298" t="str">
        <f t="shared" si="20"/>
        <v>OK</v>
      </c>
      <c r="U137" s="298" t="str">
        <f t="shared" si="20"/>
        <v>OK</v>
      </c>
      <c r="V137" s="298" t="str">
        <f t="shared" si="20"/>
        <v>OK</v>
      </c>
      <c r="W137" s="298" t="str">
        <f t="shared" si="20"/>
        <v>OK</v>
      </c>
      <c r="X137" s="298" t="str">
        <f t="shared" si="20"/>
        <v>OK</v>
      </c>
      <c r="Y137" s="298" t="str">
        <f t="shared" si="20"/>
        <v>OK</v>
      </c>
      <c r="Z137" s="298" t="str">
        <f t="shared" si="20"/>
        <v>OK</v>
      </c>
      <c r="AA137" s="298" t="str">
        <f t="shared" si="20"/>
        <v>OK</v>
      </c>
      <c r="AB137" s="298" t="str">
        <f t="shared" si="20"/>
        <v>OK</v>
      </c>
      <c r="AC137" s="298" t="str">
        <f t="shared" si="20"/>
        <v>OK</v>
      </c>
      <c r="AD137" s="298" t="str">
        <f t="shared" si="20"/>
        <v>OK</v>
      </c>
      <c r="AE137" s="298" t="str">
        <f t="shared" si="20"/>
        <v>OK</v>
      </c>
      <c r="AF137" s="298" t="str">
        <f t="shared" si="20"/>
        <v>OK</v>
      </c>
      <c r="AG137" s="298" t="str">
        <f t="shared" si="20"/>
        <v>OK</v>
      </c>
      <c r="AH137" s="298" t="str">
        <f t="shared" si="20"/>
        <v>OK</v>
      </c>
      <c r="AI137" s="298" t="str">
        <f t="shared" si="20"/>
        <v>OK</v>
      </c>
      <c r="AJ137" s="298" t="str">
        <f t="shared" si="20"/>
        <v>OK</v>
      </c>
      <c r="AK137" s="298" t="str">
        <f t="shared" si="20"/>
        <v>OK</v>
      </c>
      <c r="AL137" s="299" t="str">
        <f t="shared" si="20"/>
        <v>OK</v>
      </c>
    </row>
    <row r="138" spans="2:38" hidden="1" outlineLevel="2">
      <c r="B138" s="291"/>
      <c r="C138" s="292"/>
      <c r="D138" s="307" t="s">
        <v>506</v>
      </c>
      <c r="E138" s="294" t="s">
        <v>204</v>
      </c>
      <c r="F138" s="295" t="s">
        <v>204</v>
      </c>
      <c r="G138" s="295" t="s">
        <v>204</v>
      </c>
      <c r="H138" s="296" t="s">
        <v>204</v>
      </c>
      <c r="I138" s="297" t="str">
        <f t="shared" ref="I138:AL138" si="21">+IF(I29&gt;0,IF(I29=I61,"OK","Błąd"),"N/D")</f>
        <v>OK</v>
      </c>
      <c r="J138" s="297" t="str">
        <f t="shared" si="21"/>
        <v>OK</v>
      </c>
      <c r="K138" s="297" t="str">
        <f t="shared" si="21"/>
        <v>OK</v>
      </c>
      <c r="L138" s="297" t="str">
        <f t="shared" si="21"/>
        <v>OK</v>
      </c>
      <c r="M138" s="297" t="str">
        <f t="shared" si="21"/>
        <v>OK</v>
      </c>
      <c r="N138" s="297" t="str">
        <f t="shared" si="21"/>
        <v>OK</v>
      </c>
      <c r="O138" s="297" t="str">
        <f t="shared" si="21"/>
        <v>OK</v>
      </c>
      <c r="P138" s="297" t="str">
        <f t="shared" si="21"/>
        <v>OK</v>
      </c>
      <c r="Q138" s="297" t="str">
        <f t="shared" si="21"/>
        <v>OK</v>
      </c>
      <c r="R138" s="297" t="str">
        <f t="shared" si="21"/>
        <v>OK</v>
      </c>
      <c r="S138" s="297" t="str">
        <f t="shared" si="21"/>
        <v>N/D</v>
      </c>
      <c r="T138" s="297" t="str">
        <f t="shared" si="21"/>
        <v>N/D</v>
      </c>
      <c r="U138" s="297" t="str">
        <f t="shared" si="21"/>
        <v>N/D</v>
      </c>
      <c r="V138" s="297" t="str">
        <f t="shared" si="21"/>
        <v>N/D</v>
      </c>
      <c r="W138" s="297" t="str">
        <f t="shared" si="21"/>
        <v>N/D</v>
      </c>
      <c r="X138" s="297" t="str">
        <f t="shared" si="21"/>
        <v>N/D</v>
      </c>
      <c r="Y138" s="297" t="str">
        <f t="shared" si="21"/>
        <v>N/D</v>
      </c>
      <c r="Z138" s="297" t="str">
        <f t="shared" si="21"/>
        <v>N/D</v>
      </c>
      <c r="AA138" s="297" t="str">
        <f t="shared" si="21"/>
        <v>N/D</v>
      </c>
      <c r="AB138" s="297" t="str">
        <f t="shared" si="21"/>
        <v>N/D</v>
      </c>
      <c r="AC138" s="297" t="str">
        <f t="shared" si="21"/>
        <v>N/D</v>
      </c>
      <c r="AD138" s="297" t="str">
        <f t="shared" si="21"/>
        <v>N/D</v>
      </c>
      <c r="AE138" s="297" t="str">
        <f t="shared" si="21"/>
        <v>N/D</v>
      </c>
      <c r="AF138" s="297" t="str">
        <f t="shared" si="21"/>
        <v>N/D</v>
      </c>
      <c r="AG138" s="297" t="str">
        <f t="shared" si="21"/>
        <v>N/D</v>
      </c>
      <c r="AH138" s="297" t="str">
        <f t="shared" si="21"/>
        <v>N/D</v>
      </c>
      <c r="AI138" s="297" t="str">
        <f t="shared" si="21"/>
        <v>N/D</v>
      </c>
      <c r="AJ138" s="297" t="str">
        <f t="shared" si="21"/>
        <v>N/D</v>
      </c>
      <c r="AK138" s="297" t="str">
        <f t="shared" si="21"/>
        <v>N/D</v>
      </c>
      <c r="AL138" s="297" t="str">
        <f t="shared" si="21"/>
        <v>N/D</v>
      </c>
    </row>
    <row r="139" spans="2:38" hidden="1" outlineLevel="2">
      <c r="B139" s="291" t="s">
        <v>507</v>
      </c>
      <c r="C139" s="292" t="s">
        <v>507</v>
      </c>
      <c r="D139" s="307" t="s">
        <v>508</v>
      </c>
      <c r="E139" s="294" t="s">
        <v>204</v>
      </c>
      <c r="F139" s="295" t="s">
        <v>204</v>
      </c>
      <c r="G139" s="295" t="s">
        <v>204</v>
      </c>
      <c r="H139" s="296" t="s">
        <v>204</v>
      </c>
      <c r="I139" s="297" t="str">
        <f t="shared" ref="I139:AL139" si="22">IF(I61&gt;=I62,"OK","BŁĄD")</f>
        <v>OK</v>
      </c>
      <c r="J139" s="298" t="str">
        <f t="shared" si="22"/>
        <v>OK</v>
      </c>
      <c r="K139" s="298" t="str">
        <f t="shared" si="22"/>
        <v>OK</v>
      </c>
      <c r="L139" s="298" t="str">
        <f t="shared" si="22"/>
        <v>OK</v>
      </c>
      <c r="M139" s="298" t="str">
        <f t="shared" si="22"/>
        <v>OK</v>
      </c>
      <c r="N139" s="298" t="str">
        <f t="shared" si="22"/>
        <v>OK</v>
      </c>
      <c r="O139" s="298" t="str">
        <f t="shared" si="22"/>
        <v>OK</v>
      </c>
      <c r="P139" s="298" t="str">
        <f t="shared" si="22"/>
        <v>OK</v>
      </c>
      <c r="Q139" s="298" t="str">
        <f t="shared" si="22"/>
        <v>OK</v>
      </c>
      <c r="R139" s="298" t="str">
        <f t="shared" si="22"/>
        <v>OK</v>
      </c>
      <c r="S139" s="298" t="str">
        <f t="shared" si="22"/>
        <v>OK</v>
      </c>
      <c r="T139" s="298" t="str">
        <f t="shared" si="22"/>
        <v>OK</v>
      </c>
      <c r="U139" s="298" t="str">
        <f t="shared" si="22"/>
        <v>OK</v>
      </c>
      <c r="V139" s="298" t="str">
        <f t="shared" si="22"/>
        <v>OK</v>
      </c>
      <c r="W139" s="298" t="str">
        <f t="shared" si="22"/>
        <v>OK</v>
      </c>
      <c r="X139" s="298" t="str">
        <f t="shared" si="22"/>
        <v>OK</v>
      </c>
      <c r="Y139" s="298" t="str">
        <f t="shared" si="22"/>
        <v>OK</v>
      </c>
      <c r="Z139" s="298" t="str">
        <f t="shared" si="22"/>
        <v>OK</v>
      </c>
      <c r="AA139" s="298" t="str">
        <f t="shared" si="22"/>
        <v>OK</v>
      </c>
      <c r="AB139" s="298" t="str">
        <f t="shared" si="22"/>
        <v>OK</v>
      </c>
      <c r="AC139" s="298" t="str">
        <f t="shared" si="22"/>
        <v>OK</v>
      </c>
      <c r="AD139" s="298" t="str">
        <f t="shared" si="22"/>
        <v>OK</v>
      </c>
      <c r="AE139" s="298" t="str">
        <f t="shared" si="22"/>
        <v>OK</v>
      </c>
      <c r="AF139" s="298" t="str">
        <f t="shared" si="22"/>
        <v>OK</v>
      </c>
      <c r="AG139" s="298" t="str">
        <f t="shared" si="22"/>
        <v>OK</v>
      </c>
      <c r="AH139" s="298" t="str">
        <f t="shared" si="22"/>
        <v>OK</v>
      </c>
      <c r="AI139" s="298" t="str">
        <f t="shared" si="22"/>
        <v>OK</v>
      </c>
      <c r="AJ139" s="298" t="str">
        <f t="shared" si="22"/>
        <v>OK</v>
      </c>
      <c r="AK139" s="298" t="str">
        <f t="shared" si="22"/>
        <v>OK</v>
      </c>
      <c r="AL139" s="299" t="str">
        <f t="shared" si="22"/>
        <v>OK</v>
      </c>
    </row>
    <row r="140" spans="2:38" hidden="1" outlineLevel="2">
      <c r="B140" s="291"/>
      <c r="C140" s="292" t="s">
        <v>509</v>
      </c>
      <c r="D140" s="307" t="s">
        <v>510</v>
      </c>
      <c r="E140" s="294" t="s">
        <v>204</v>
      </c>
      <c r="F140" s="295" t="s">
        <v>204</v>
      </c>
      <c r="G140" s="295" t="s">
        <v>204</v>
      </c>
      <c r="H140" s="296" t="s">
        <v>204</v>
      </c>
      <c r="I140" s="297" t="str">
        <f t="shared" ref="I140:AL140" si="23">IF(I61&gt;0,IF(I62&gt;0,"OK","BŁĄD"),"N/D")</f>
        <v>OK</v>
      </c>
      <c r="J140" s="298" t="str">
        <f t="shared" si="23"/>
        <v>OK</v>
      </c>
      <c r="K140" s="298" t="str">
        <f t="shared" si="23"/>
        <v>OK</v>
      </c>
      <c r="L140" s="298" t="str">
        <f t="shared" si="23"/>
        <v>OK</v>
      </c>
      <c r="M140" s="298" t="str">
        <f t="shared" si="23"/>
        <v>OK</v>
      </c>
      <c r="N140" s="298" t="str">
        <f t="shared" si="23"/>
        <v>OK</v>
      </c>
      <c r="O140" s="298" t="str">
        <f t="shared" si="23"/>
        <v>OK</v>
      </c>
      <c r="P140" s="298" t="str">
        <f t="shared" si="23"/>
        <v>OK</v>
      </c>
      <c r="Q140" s="298" t="str">
        <f t="shared" si="23"/>
        <v>OK</v>
      </c>
      <c r="R140" s="298" t="str">
        <f t="shared" si="23"/>
        <v>OK</v>
      </c>
      <c r="S140" s="298" t="str">
        <f t="shared" si="23"/>
        <v>N/D</v>
      </c>
      <c r="T140" s="298" t="str">
        <f t="shared" si="23"/>
        <v>N/D</v>
      </c>
      <c r="U140" s="298" t="str">
        <f t="shared" si="23"/>
        <v>N/D</v>
      </c>
      <c r="V140" s="298" t="str">
        <f t="shared" si="23"/>
        <v>N/D</v>
      </c>
      <c r="W140" s="298" t="str">
        <f t="shared" si="23"/>
        <v>N/D</v>
      </c>
      <c r="X140" s="298" t="str">
        <f t="shared" si="23"/>
        <v>N/D</v>
      </c>
      <c r="Y140" s="298" t="str">
        <f t="shared" si="23"/>
        <v>N/D</v>
      </c>
      <c r="Z140" s="298" t="str">
        <f t="shared" si="23"/>
        <v>N/D</v>
      </c>
      <c r="AA140" s="298" t="str">
        <f t="shared" si="23"/>
        <v>N/D</v>
      </c>
      <c r="AB140" s="298" t="str">
        <f t="shared" si="23"/>
        <v>N/D</v>
      </c>
      <c r="AC140" s="298" t="str">
        <f t="shared" si="23"/>
        <v>N/D</v>
      </c>
      <c r="AD140" s="298" t="str">
        <f t="shared" si="23"/>
        <v>N/D</v>
      </c>
      <c r="AE140" s="298" t="str">
        <f t="shared" si="23"/>
        <v>N/D</v>
      </c>
      <c r="AF140" s="298" t="str">
        <f t="shared" si="23"/>
        <v>N/D</v>
      </c>
      <c r="AG140" s="298" t="str">
        <f t="shared" si="23"/>
        <v>N/D</v>
      </c>
      <c r="AH140" s="298" t="str">
        <f t="shared" si="23"/>
        <v>N/D</v>
      </c>
      <c r="AI140" s="298" t="str">
        <f t="shared" si="23"/>
        <v>N/D</v>
      </c>
      <c r="AJ140" s="298" t="str">
        <f t="shared" si="23"/>
        <v>N/D</v>
      </c>
      <c r="AK140" s="298" t="str">
        <f t="shared" si="23"/>
        <v>N/D</v>
      </c>
      <c r="AL140" s="299" t="str">
        <f t="shared" si="23"/>
        <v>N/D</v>
      </c>
    </row>
    <row r="141" spans="2:38" hidden="1" outlineLevel="2">
      <c r="B141" s="291" t="s">
        <v>511</v>
      </c>
      <c r="C141" s="292" t="s">
        <v>511</v>
      </c>
      <c r="D141" s="307" t="s">
        <v>512</v>
      </c>
      <c r="E141" s="294" t="s">
        <v>204</v>
      </c>
      <c r="F141" s="295" t="s">
        <v>204</v>
      </c>
      <c r="G141" s="295" t="s">
        <v>204</v>
      </c>
      <c r="H141" s="296" t="s">
        <v>204</v>
      </c>
      <c r="I141" s="297" t="str">
        <f t="shared" ref="I141:AL142" si="24">IF(I73&gt;=I74,"OK","BŁĄD")</f>
        <v>OK</v>
      </c>
      <c r="J141" s="298" t="str">
        <f t="shared" si="24"/>
        <v>OK</v>
      </c>
      <c r="K141" s="298" t="str">
        <f t="shared" si="24"/>
        <v>OK</v>
      </c>
      <c r="L141" s="298" t="str">
        <f t="shared" si="24"/>
        <v>OK</v>
      </c>
      <c r="M141" s="298" t="str">
        <f t="shared" si="24"/>
        <v>OK</v>
      </c>
      <c r="N141" s="298" t="str">
        <f t="shared" si="24"/>
        <v>OK</v>
      </c>
      <c r="O141" s="298" t="str">
        <f t="shared" si="24"/>
        <v>OK</v>
      </c>
      <c r="P141" s="298" t="str">
        <f t="shared" si="24"/>
        <v>OK</v>
      </c>
      <c r="Q141" s="298" t="str">
        <f t="shared" si="24"/>
        <v>OK</v>
      </c>
      <c r="R141" s="298" t="str">
        <f t="shared" si="24"/>
        <v>OK</v>
      </c>
      <c r="S141" s="298" t="str">
        <f t="shared" si="24"/>
        <v>OK</v>
      </c>
      <c r="T141" s="298" t="str">
        <f t="shared" si="24"/>
        <v>OK</v>
      </c>
      <c r="U141" s="298" t="str">
        <f t="shared" si="24"/>
        <v>OK</v>
      </c>
      <c r="V141" s="298" t="str">
        <f t="shared" si="24"/>
        <v>OK</v>
      </c>
      <c r="W141" s="298" t="str">
        <f t="shared" si="24"/>
        <v>OK</v>
      </c>
      <c r="X141" s="298" t="str">
        <f t="shared" si="24"/>
        <v>OK</v>
      </c>
      <c r="Y141" s="298" t="str">
        <f t="shared" si="24"/>
        <v>OK</v>
      </c>
      <c r="Z141" s="298" t="str">
        <f t="shared" si="24"/>
        <v>OK</v>
      </c>
      <c r="AA141" s="298" t="str">
        <f t="shared" si="24"/>
        <v>OK</v>
      </c>
      <c r="AB141" s="298" t="str">
        <f t="shared" si="24"/>
        <v>OK</v>
      </c>
      <c r="AC141" s="298" t="str">
        <f t="shared" si="24"/>
        <v>OK</v>
      </c>
      <c r="AD141" s="298" t="str">
        <f t="shared" si="24"/>
        <v>OK</v>
      </c>
      <c r="AE141" s="298" t="str">
        <f t="shared" si="24"/>
        <v>OK</v>
      </c>
      <c r="AF141" s="298" t="str">
        <f t="shared" si="24"/>
        <v>OK</v>
      </c>
      <c r="AG141" s="298" t="str">
        <f t="shared" si="24"/>
        <v>OK</v>
      </c>
      <c r="AH141" s="298" t="str">
        <f t="shared" si="24"/>
        <v>OK</v>
      </c>
      <c r="AI141" s="298" t="str">
        <f t="shared" si="24"/>
        <v>OK</v>
      </c>
      <c r="AJ141" s="298" t="str">
        <f t="shared" si="24"/>
        <v>OK</v>
      </c>
      <c r="AK141" s="298" t="str">
        <f t="shared" si="24"/>
        <v>OK</v>
      </c>
      <c r="AL141" s="299" t="str">
        <f t="shared" si="24"/>
        <v>OK</v>
      </c>
    </row>
    <row r="142" spans="2:38" hidden="1" outlineLevel="2">
      <c r="B142" s="291" t="s">
        <v>513</v>
      </c>
      <c r="C142" s="292" t="s">
        <v>513</v>
      </c>
      <c r="D142" s="307" t="s">
        <v>514</v>
      </c>
      <c r="E142" s="294" t="s">
        <v>204</v>
      </c>
      <c r="F142" s="295" t="s">
        <v>204</v>
      </c>
      <c r="G142" s="295" t="s">
        <v>204</v>
      </c>
      <c r="H142" s="296" t="s">
        <v>204</v>
      </c>
      <c r="I142" s="297" t="str">
        <f t="shared" si="24"/>
        <v>OK</v>
      </c>
      <c r="J142" s="298" t="str">
        <f t="shared" si="24"/>
        <v>OK</v>
      </c>
      <c r="K142" s="298" t="str">
        <f t="shared" si="24"/>
        <v>OK</v>
      </c>
      <c r="L142" s="298" t="str">
        <f t="shared" si="24"/>
        <v>OK</v>
      </c>
      <c r="M142" s="298" t="str">
        <f t="shared" si="24"/>
        <v>OK</v>
      </c>
      <c r="N142" s="298" t="str">
        <f t="shared" si="24"/>
        <v>OK</v>
      </c>
      <c r="O142" s="298" t="str">
        <f t="shared" si="24"/>
        <v>OK</v>
      </c>
      <c r="P142" s="298" t="str">
        <f t="shared" si="24"/>
        <v>OK</v>
      </c>
      <c r="Q142" s="298" t="str">
        <f t="shared" si="24"/>
        <v>OK</v>
      </c>
      <c r="R142" s="298" t="str">
        <f t="shared" si="24"/>
        <v>OK</v>
      </c>
      <c r="S142" s="298" t="str">
        <f t="shared" si="24"/>
        <v>OK</v>
      </c>
      <c r="T142" s="298" t="str">
        <f t="shared" si="24"/>
        <v>OK</v>
      </c>
      <c r="U142" s="298" t="str">
        <f t="shared" si="24"/>
        <v>OK</v>
      </c>
      <c r="V142" s="298" t="str">
        <f t="shared" si="24"/>
        <v>OK</v>
      </c>
      <c r="W142" s="298" t="str">
        <f t="shared" si="24"/>
        <v>OK</v>
      </c>
      <c r="X142" s="298" t="str">
        <f t="shared" si="24"/>
        <v>OK</v>
      </c>
      <c r="Y142" s="298" t="str">
        <f t="shared" si="24"/>
        <v>OK</v>
      </c>
      <c r="Z142" s="298" t="str">
        <f t="shared" si="24"/>
        <v>OK</v>
      </c>
      <c r="AA142" s="298" t="str">
        <f t="shared" si="24"/>
        <v>OK</v>
      </c>
      <c r="AB142" s="298" t="str">
        <f t="shared" si="24"/>
        <v>OK</v>
      </c>
      <c r="AC142" s="298" t="str">
        <f t="shared" si="24"/>
        <v>OK</v>
      </c>
      <c r="AD142" s="298" t="str">
        <f t="shared" si="24"/>
        <v>OK</v>
      </c>
      <c r="AE142" s="298" t="str">
        <f t="shared" si="24"/>
        <v>OK</v>
      </c>
      <c r="AF142" s="298" t="str">
        <f t="shared" si="24"/>
        <v>OK</v>
      </c>
      <c r="AG142" s="298" t="str">
        <f t="shared" si="24"/>
        <v>OK</v>
      </c>
      <c r="AH142" s="298" t="str">
        <f t="shared" si="24"/>
        <v>OK</v>
      </c>
      <c r="AI142" s="298" t="str">
        <f t="shared" si="24"/>
        <v>OK</v>
      </c>
      <c r="AJ142" s="298" t="str">
        <f t="shared" si="24"/>
        <v>OK</v>
      </c>
      <c r="AK142" s="298" t="str">
        <f t="shared" si="24"/>
        <v>OK</v>
      </c>
      <c r="AL142" s="299" t="str">
        <f t="shared" si="24"/>
        <v>OK</v>
      </c>
    </row>
    <row r="143" spans="2:38" hidden="1" outlineLevel="2">
      <c r="B143" s="291" t="s">
        <v>515</v>
      </c>
      <c r="C143" s="292" t="s">
        <v>515</v>
      </c>
      <c r="D143" s="307" t="s">
        <v>516</v>
      </c>
      <c r="E143" s="294" t="s">
        <v>204</v>
      </c>
      <c r="F143" s="295" t="s">
        <v>204</v>
      </c>
      <c r="G143" s="295" t="s">
        <v>204</v>
      </c>
      <c r="H143" s="296" t="s">
        <v>204</v>
      </c>
      <c r="I143" s="297" t="str">
        <f t="shared" ref="I143:AL144" si="25">IF(I76&gt;=I77,"OK","BŁĄD")</f>
        <v>OK</v>
      </c>
      <c r="J143" s="298" t="str">
        <f t="shared" si="25"/>
        <v>OK</v>
      </c>
      <c r="K143" s="298" t="str">
        <f t="shared" si="25"/>
        <v>OK</v>
      </c>
      <c r="L143" s="298" t="str">
        <f t="shared" si="25"/>
        <v>OK</v>
      </c>
      <c r="M143" s="298" t="str">
        <f t="shared" si="25"/>
        <v>OK</v>
      </c>
      <c r="N143" s="298" t="str">
        <f t="shared" si="25"/>
        <v>OK</v>
      </c>
      <c r="O143" s="298" t="str">
        <f t="shared" si="25"/>
        <v>OK</v>
      </c>
      <c r="P143" s="298" t="str">
        <f t="shared" si="25"/>
        <v>OK</v>
      </c>
      <c r="Q143" s="298" t="str">
        <f t="shared" si="25"/>
        <v>OK</v>
      </c>
      <c r="R143" s="298" t="str">
        <f t="shared" si="25"/>
        <v>OK</v>
      </c>
      <c r="S143" s="298" t="str">
        <f t="shared" si="25"/>
        <v>OK</v>
      </c>
      <c r="T143" s="298" t="str">
        <f t="shared" si="25"/>
        <v>OK</v>
      </c>
      <c r="U143" s="298" t="str">
        <f t="shared" si="25"/>
        <v>OK</v>
      </c>
      <c r="V143" s="298" t="str">
        <f t="shared" si="25"/>
        <v>OK</v>
      </c>
      <c r="W143" s="298" t="str">
        <f t="shared" si="25"/>
        <v>OK</v>
      </c>
      <c r="X143" s="298" t="str">
        <f t="shared" si="25"/>
        <v>OK</v>
      </c>
      <c r="Y143" s="298" t="str">
        <f t="shared" si="25"/>
        <v>OK</v>
      </c>
      <c r="Z143" s="298" t="str">
        <f t="shared" si="25"/>
        <v>OK</v>
      </c>
      <c r="AA143" s="298" t="str">
        <f t="shared" si="25"/>
        <v>OK</v>
      </c>
      <c r="AB143" s="298" t="str">
        <f t="shared" si="25"/>
        <v>OK</v>
      </c>
      <c r="AC143" s="298" t="str">
        <f t="shared" si="25"/>
        <v>OK</v>
      </c>
      <c r="AD143" s="298" t="str">
        <f t="shared" si="25"/>
        <v>OK</v>
      </c>
      <c r="AE143" s="298" t="str">
        <f t="shared" si="25"/>
        <v>OK</v>
      </c>
      <c r="AF143" s="298" t="str">
        <f t="shared" si="25"/>
        <v>OK</v>
      </c>
      <c r="AG143" s="298" t="str">
        <f t="shared" si="25"/>
        <v>OK</v>
      </c>
      <c r="AH143" s="298" t="str">
        <f t="shared" si="25"/>
        <v>OK</v>
      </c>
      <c r="AI143" s="298" t="str">
        <f t="shared" si="25"/>
        <v>OK</v>
      </c>
      <c r="AJ143" s="298" t="str">
        <f t="shared" si="25"/>
        <v>OK</v>
      </c>
      <c r="AK143" s="298" t="str">
        <f t="shared" si="25"/>
        <v>OK</v>
      </c>
      <c r="AL143" s="299" t="str">
        <f t="shared" si="25"/>
        <v>OK</v>
      </c>
    </row>
    <row r="144" spans="2:38" hidden="1" outlineLevel="2">
      <c r="B144" s="291" t="s">
        <v>517</v>
      </c>
      <c r="C144" s="292" t="s">
        <v>517</v>
      </c>
      <c r="D144" s="307" t="s">
        <v>518</v>
      </c>
      <c r="E144" s="294" t="s">
        <v>204</v>
      </c>
      <c r="F144" s="295" t="s">
        <v>204</v>
      </c>
      <c r="G144" s="295" t="s">
        <v>204</v>
      </c>
      <c r="H144" s="296" t="s">
        <v>204</v>
      </c>
      <c r="I144" s="297" t="str">
        <f t="shared" si="25"/>
        <v>OK</v>
      </c>
      <c r="J144" s="298" t="str">
        <f t="shared" si="25"/>
        <v>OK</v>
      </c>
      <c r="K144" s="298" t="str">
        <f t="shared" si="25"/>
        <v>OK</v>
      </c>
      <c r="L144" s="298" t="str">
        <f t="shared" si="25"/>
        <v>OK</v>
      </c>
      <c r="M144" s="298" t="str">
        <f t="shared" si="25"/>
        <v>OK</v>
      </c>
      <c r="N144" s="298" t="str">
        <f t="shared" si="25"/>
        <v>OK</v>
      </c>
      <c r="O144" s="298" t="str">
        <f t="shared" si="25"/>
        <v>OK</v>
      </c>
      <c r="P144" s="298" t="str">
        <f t="shared" si="25"/>
        <v>OK</v>
      </c>
      <c r="Q144" s="298" t="str">
        <f t="shared" si="25"/>
        <v>OK</v>
      </c>
      <c r="R144" s="298" t="str">
        <f t="shared" si="25"/>
        <v>OK</v>
      </c>
      <c r="S144" s="298" t="str">
        <f t="shared" si="25"/>
        <v>OK</v>
      </c>
      <c r="T144" s="298" t="str">
        <f t="shared" si="25"/>
        <v>OK</v>
      </c>
      <c r="U144" s="298" t="str">
        <f t="shared" si="25"/>
        <v>OK</v>
      </c>
      <c r="V144" s="298" t="str">
        <f t="shared" si="25"/>
        <v>OK</v>
      </c>
      <c r="W144" s="298" t="str">
        <f t="shared" si="25"/>
        <v>OK</v>
      </c>
      <c r="X144" s="298" t="str">
        <f t="shared" si="25"/>
        <v>OK</v>
      </c>
      <c r="Y144" s="298" t="str">
        <f t="shared" si="25"/>
        <v>OK</v>
      </c>
      <c r="Z144" s="298" t="str">
        <f t="shared" si="25"/>
        <v>OK</v>
      </c>
      <c r="AA144" s="298" t="str">
        <f t="shared" si="25"/>
        <v>OK</v>
      </c>
      <c r="AB144" s="298" t="str">
        <f t="shared" si="25"/>
        <v>OK</v>
      </c>
      <c r="AC144" s="298" t="str">
        <f t="shared" si="25"/>
        <v>OK</v>
      </c>
      <c r="AD144" s="298" t="str">
        <f t="shared" si="25"/>
        <v>OK</v>
      </c>
      <c r="AE144" s="298" t="str">
        <f t="shared" si="25"/>
        <v>OK</v>
      </c>
      <c r="AF144" s="298" t="str">
        <f t="shared" si="25"/>
        <v>OK</v>
      </c>
      <c r="AG144" s="298" t="str">
        <f t="shared" si="25"/>
        <v>OK</v>
      </c>
      <c r="AH144" s="298" t="str">
        <f t="shared" si="25"/>
        <v>OK</v>
      </c>
      <c r="AI144" s="298" t="str">
        <f t="shared" si="25"/>
        <v>OK</v>
      </c>
      <c r="AJ144" s="298" t="str">
        <f t="shared" si="25"/>
        <v>OK</v>
      </c>
      <c r="AK144" s="298" t="str">
        <f t="shared" si="25"/>
        <v>OK</v>
      </c>
      <c r="AL144" s="299" t="str">
        <f t="shared" si="25"/>
        <v>OK</v>
      </c>
    </row>
    <row r="145" spans="2:38" hidden="1" outlineLevel="2">
      <c r="B145" s="291" t="s">
        <v>519</v>
      </c>
      <c r="C145" s="292" t="s">
        <v>519</v>
      </c>
      <c r="D145" s="307" t="s">
        <v>520</v>
      </c>
      <c r="E145" s="294" t="s">
        <v>204</v>
      </c>
      <c r="F145" s="295" t="s">
        <v>204</v>
      </c>
      <c r="G145" s="295" t="s">
        <v>204</v>
      </c>
      <c r="H145" s="296" t="s">
        <v>204</v>
      </c>
      <c r="I145" s="297" t="str">
        <f t="shared" ref="I145:AL145" si="26">IF(I79&gt;=I80,"OK","BŁĄD")</f>
        <v>OK</v>
      </c>
      <c r="J145" s="298" t="str">
        <f t="shared" si="26"/>
        <v>OK</v>
      </c>
      <c r="K145" s="298" t="str">
        <f t="shared" si="26"/>
        <v>OK</v>
      </c>
      <c r="L145" s="298" t="str">
        <f t="shared" si="26"/>
        <v>OK</v>
      </c>
      <c r="M145" s="298" t="str">
        <f t="shared" si="26"/>
        <v>OK</v>
      </c>
      <c r="N145" s="298" t="str">
        <f t="shared" si="26"/>
        <v>OK</v>
      </c>
      <c r="O145" s="298" t="str">
        <f t="shared" si="26"/>
        <v>OK</v>
      </c>
      <c r="P145" s="298" t="str">
        <f t="shared" si="26"/>
        <v>OK</v>
      </c>
      <c r="Q145" s="298" t="str">
        <f t="shared" si="26"/>
        <v>OK</v>
      </c>
      <c r="R145" s="298" t="str">
        <f t="shared" si="26"/>
        <v>OK</v>
      </c>
      <c r="S145" s="298" t="str">
        <f t="shared" si="26"/>
        <v>OK</v>
      </c>
      <c r="T145" s="298" t="str">
        <f t="shared" si="26"/>
        <v>OK</v>
      </c>
      <c r="U145" s="298" t="str">
        <f t="shared" si="26"/>
        <v>OK</v>
      </c>
      <c r="V145" s="298" t="str">
        <f t="shared" si="26"/>
        <v>OK</v>
      </c>
      <c r="W145" s="298" t="str">
        <f t="shared" si="26"/>
        <v>OK</v>
      </c>
      <c r="X145" s="298" t="str">
        <f t="shared" si="26"/>
        <v>OK</v>
      </c>
      <c r="Y145" s="298" t="str">
        <f t="shared" si="26"/>
        <v>OK</v>
      </c>
      <c r="Z145" s="298" t="str">
        <f t="shared" si="26"/>
        <v>OK</v>
      </c>
      <c r="AA145" s="298" t="str">
        <f t="shared" si="26"/>
        <v>OK</v>
      </c>
      <c r="AB145" s="298" t="str">
        <f t="shared" si="26"/>
        <v>OK</v>
      </c>
      <c r="AC145" s="298" t="str">
        <f t="shared" si="26"/>
        <v>OK</v>
      </c>
      <c r="AD145" s="298" t="str">
        <f t="shared" si="26"/>
        <v>OK</v>
      </c>
      <c r="AE145" s="298" t="str">
        <f t="shared" si="26"/>
        <v>OK</v>
      </c>
      <c r="AF145" s="298" t="str">
        <f t="shared" si="26"/>
        <v>OK</v>
      </c>
      <c r="AG145" s="298" t="str">
        <f t="shared" si="26"/>
        <v>OK</v>
      </c>
      <c r="AH145" s="298" t="str">
        <f t="shared" si="26"/>
        <v>OK</v>
      </c>
      <c r="AI145" s="298" t="str">
        <f t="shared" si="26"/>
        <v>OK</v>
      </c>
      <c r="AJ145" s="298" t="str">
        <f t="shared" si="26"/>
        <v>OK</v>
      </c>
      <c r="AK145" s="298" t="str">
        <f t="shared" si="26"/>
        <v>OK</v>
      </c>
      <c r="AL145" s="299" t="str">
        <f t="shared" si="26"/>
        <v>OK</v>
      </c>
    </row>
    <row r="146" spans="2:38" hidden="1" outlineLevel="2">
      <c r="B146" s="291" t="s">
        <v>521</v>
      </c>
      <c r="C146" s="292" t="s">
        <v>521</v>
      </c>
      <c r="D146" s="307" t="s">
        <v>522</v>
      </c>
      <c r="E146" s="294" t="s">
        <v>204</v>
      </c>
      <c r="F146" s="295" t="s">
        <v>204</v>
      </c>
      <c r="G146" s="295" t="s">
        <v>204</v>
      </c>
      <c r="H146" s="296" t="s">
        <v>204</v>
      </c>
      <c r="I146" s="297" t="str">
        <f t="shared" ref="I146:AL146" si="27">IF(I79&gt;=I81,"OK","BŁĄD")</f>
        <v>OK</v>
      </c>
      <c r="J146" s="298" t="str">
        <f t="shared" si="27"/>
        <v>OK</v>
      </c>
      <c r="K146" s="298" t="str">
        <f t="shared" si="27"/>
        <v>OK</v>
      </c>
      <c r="L146" s="298" t="str">
        <f t="shared" si="27"/>
        <v>OK</v>
      </c>
      <c r="M146" s="298" t="str">
        <f t="shared" si="27"/>
        <v>OK</v>
      </c>
      <c r="N146" s="298" t="str">
        <f t="shared" si="27"/>
        <v>OK</v>
      </c>
      <c r="O146" s="298" t="str">
        <f t="shared" si="27"/>
        <v>OK</v>
      </c>
      <c r="P146" s="298" t="str">
        <f t="shared" si="27"/>
        <v>OK</v>
      </c>
      <c r="Q146" s="298" t="str">
        <f t="shared" si="27"/>
        <v>OK</v>
      </c>
      <c r="R146" s="298" t="str">
        <f t="shared" si="27"/>
        <v>OK</v>
      </c>
      <c r="S146" s="298" t="str">
        <f t="shared" si="27"/>
        <v>OK</v>
      </c>
      <c r="T146" s="298" t="str">
        <f t="shared" si="27"/>
        <v>OK</v>
      </c>
      <c r="U146" s="298" t="str">
        <f t="shared" si="27"/>
        <v>OK</v>
      </c>
      <c r="V146" s="298" t="str">
        <f t="shared" si="27"/>
        <v>OK</v>
      </c>
      <c r="W146" s="298" t="str">
        <f t="shared" si="27"/>
        <v>OK</v>
      </c>
      <c r="X146" s="298" t="str">
        <f t="shared" si="27"/>
        <v>OK</v>
      </c>
      <c r="Y146" s="298" t="str">
        <f t="shared" si="27"/>
        <v>OK</v>
      </c>
      <c r="Z146" s="298" t="str">
        <f t="shared" si="27"/>
        <v>OK</v>
      </c>
      <c r="AA146" s="298" t="str">
        <f t="shared" si="27"/>
        <v>OK</v>
      </c>
      <c r="AB146" s="298" t="str">
        <f t="shared" si="27"/>
        <v>OK</v>
      </c>
      <c r="AC146" s="298" t="str">
        <f t="shared" si="27"/>
        <v>OK</v>
      </c>
      <c r="AD146" s="298" t="str">
        <f t="shared" si="27"/>
        <v>OK</v>
      </c>
      <c r="AE146" s="298" t="str">
        <f t="shared" si="27"/>
        <v>OK</v>
      </c>
      <c r="AF146" s="298" t="str">
        <f t="shared" si="27"/>
        <v>OK</v>
      </c>
      <c r="AG146" s="298" t="str">
        <f t="shared" si="27"/>
        <v>OK</v>
      </c>
      <c r="AH146" s="298" t="str">
        <f t="shared" si="27"/>
        <v>OK</v>
      </c>
      <c r="AI146" s="298" t="str">
        <f t="shared" si="27"/>
        <v>OK</v>
      </c>
      <c r="AJ146" s="298" t="str">
        <f t="shared" si="27"/>
        <v>OK</v>
      </c>
      <c r="AK146" s="298" t="str">
        <f t="shared" si="27"/>
        <v>OK</v>
      </c>
      <c r="AL146" s="299" t="str">
        <f t="shared" si="27"/>
        <v>OK</v>
      </c>
    </row>
    <row r="147" spans="2:38" hidden="1" outlineLevel="2">
      <c r="B147" s="291" t="s">
        <v>523</v>
      </c>
      <c r="C147" s="292" t="s">
        <v>523</v>
      </c>
      <c r="D147" s="307" t="s">
        <v>524</v>
      </c>
      <c r="E147" s="294" t="s">
        <v>204</v>
      </c>
      <c r="F147" s="295" t="s">
        <v>204</v>
      </c>
      <c r="G147" s="295" t="s">
        <v>204</v>
      </c>
      <c r="H147" s="296" t="s">
        <v>204</v>
      </c>
      <c r="I147" s="297" t="str">
        <f t="shared" ref="I147:AL147" si="28">IF(I82&gt;=I83,"OK","BŁĄD")</f>
        <v>OK</v>
      </c>
      <c r="J147" s="298" t="str">
        <f t="shared" si="28"/>
        <v>OK</v>
      </c>
      <c r="K147" s="298" t="str">
        <f t="shared" si="28"/>
        <v>OK</v>
      </c>
      <c r="L147" s="298" t="str">
        <f t="shared" si="28"/>
        <v>OK</v>
      </c>
      <c r="M147" s="298" t="str">
        <f t="shared" si="28"/>
        <v>OK</v>
      </c>
      <c r="N147" s="298" t="str">
        <f t="shared" si="28"/>
        <v>OK</v>
      </c>
      <c r="O147" s="298" t="str">
        <f t="shared" si="28"/>
        <v>OK</v>
      </c>
      <c r="P147" s="298" t="str">
        <f t="shared" si="28"/>
        <v>OK</v>
      </c>
      <c r="Q147" s="298" t="str">
        <f t="shared" si="28"/>
        <v>OK</v>
      </c>
      <c r="R147" s="298" t="str">
        <f t="shared" si="28"/>
        <v>OK</v>
      </c>
      <c r="S147" s="298" t="str">
        <f t="shared" si="28"/>
        <v>OK</v>
      </c>
      <c r="T147" s="298" t="str">
        <f t="shared" si="28"/>
        <v>OK</v>
      </c>
      <c r="U147" s="298" t="str">
        <f t="shared" si="28"/>
        <v>OK</v>
      </c>
      <c r="V147" s="298" t="str">
        <f t="shared" si="28"/>
        <v>OK</v>
      </c>
      <c r="W147" s="298" t="str">
        <f t="shared" si="28"/>
        <v>OK</v>
      </c>
      <c r="X147" s="298" t="str">
        <f t="shared" si="28"/>
        <v>OK</v>
      </c>
      <c r="Y147" s="298" t="str">
        <f t="shared" si="28"/>
        <v>OK</v>
      </c>
      <c r="Z147" s="298" t="str">
        <f t="shared" si="28"/>
        <v>OK</v>
      </c>
      <c r="AA147" s="298" t="str">
        <f t="shared" si="28"/>
        <v>OK</v>
      </c>
      <c r="AB147" s="298" t="str">
        <f t="shared" si="28"/>
        <v>OK</v>
      </c>
      <c r="AC147" s="298" t="str">
        <f t="shared" si="28"/>
        <v>OK</v>
      </c>
      <c r="AD147" s="298" t="str">
        <f t="shared" si="28"/>
        <v>OK</v>
      </c>
      <c r="AE147" s="298" t="str">
        <f t="shared" si="28"/>
        <v>OK</v>
      </c>
      <c r="AF147" s="298" t="str">
        <f t="shared" si="28"/>
        <v>OK</v>
      </c>
      <c r="AG147" s="298" t="str">
        <f t="shared" si="28"/>
        <v>OK</v>
      </c>
      <c r="AH147" s="298" t="str">
        <f t="shared" si="28"/>
        <v>OK</v>
      </c>
      <c r="AI147" s="298" t="str">
        <f t="shared" si="28"/>
        <v>OK</v>
      </c>
      <c r="AJ147" s="298" t="str">
        <f t="shared" si="28"/>
        <v>OK</v>
      </c>
      <c r="AK147" s="298" t="str">
        <f t="shared" si="28"/>
        <v>OK</v>
      </c>
      <c r="AL147" s="299" t="str">
        <f t="shared" si="28"/>
        <v>OK</v>
      </c>
    </row>
    <row r="148" spans="2:38" hidden="1" outlineLevel="2">
      <c r="B148" s="291" t="s">
        <v>525</v>
      </c>
      <c r="C148" s="292" t="s">
        <v>525</v>
      </c>
      <c r="D148" s="307" t="s">
        <v>526</v>
      </c>
      <c r="E148" s="294" t="s">
        <v>204</v>
      </c>
      <c r="F148" s="295" t="s">
        <v>204</v>
      </c>
      <c r="G148" s="295" t="s">
        <v>204</v>
      </c>
      <c r="H148" s="296" t="s">
        <v>204</v>
      </c>
      <c r="I148" s="297" t="str">
        <f t="shared" ref="I148:AL148" si="29">IF(I82&gt;=I84,"OK","BŁĄD")</f>
        <v>OK</v>
      </c>
      <c r="J148" s="298" t="str">
        <f t="shared" si="29"/>
        <v>OK</v>
      </c>
      <c r="K148" s="298" t="str">
        <f t="shared" si="29"/>
        <v>OK</v>
      </c>
      <c r="L148" s="298" t="str">
        <f t="shared" si="29"/>
        <v>OK</v>
      </c>
      <c r="M148" s="298" t="str">
        <f t="shared" si="29"/>
        <v>OK</v>
      </c>
      <c r="N148" s="298" t="str">
        <f t="shared" si="29"/>
        <v>OK</v>
      </c>
      <c r="O148" s="298" t="str">
        <f t="shared" si="29"/>
        <v>OK</v>
      </c>
      <c r="P148" s="298" t="str">
        <f t="shared" si="29"/>
        <v>OK</v>
      </c>
      <c r="Q148" s="298" t="str">
        <f t="shared" si="29"/>
        <v>OK</v>
      </c>
      <c r="R148" s="298" t="str">
        <f t="shared" si="29"/>
        <v>OK</v>
      </c>
      <c r="S148" s="298" t="str">
        <f t="shared" si="29"/>
        <v>OK</v>
      </c>
      <c r="T148" s="298" t="str">
        <f t="shared" si="29"/>
        <v>OK</v>
      </c>
      <c r="U148" s="298" t="str">
        <f t="shared" si="29"/>
        <v>OK</v>
      </c>
      <c r="V148" s="298" t="str">
        <f t="shared" si="29"/>
        <v>OK</v>
      </c>
      <c r="W148" s="298" t="str">
        <f t="shared" si="29"/>
        <v>OK</v>
      </c>
      <c r="X148" s="298" t="str">
        <f t="shared" si="29"/>
        <v>OK</v>
      </c>
      <c r="Y148" s="298" t="str">
        <f t="shared" si="29"/>
        <v>OK</v>
      </c>
      <c r="Z148" s="298" t="str">
        <f t="shared" si="29"/>
        <v>OK</v>
      </c>
      <c r="AA148" s="298" t="str">
        <f t="shared" si="29"/>
        <v>OK</v>
      </c>
      <c r="AB148" s="298" t="str">
        <f t="shared" si="29"/>
        <v>OK</v>
      </c>
      <c r="AC148" s="298" t="str">
        <f t="shared" si="29"/>
        <v>OK</v>
      </c>
      <c r="AD148" s="298" t="str">
        <f t="shared" si="29"/>
        <v>OK</v>
      </c>
      <c r="AE148" s="298" t="str">
        <f t="shared" si="29"/>
        <v>OK</v>
      </c>
      <c r="AF148" s="298" t="str">
        <f t="shared" si="29"/>
        <v>OK</v>
      </c>
      <c r="AG148" s="298" t="str">
        <f t="shared" si="29"/>
        <v>OK</v>
      </c>
      <c r="AH148" s="298" t="str">
        <f t="shared" si="29"/>
        <v>OK</v>
      </c>
      <c r="AI148" s="298" t="str">
        <f t="shared" si="29"/>
        <v>OK</v>
      </c>
      <c r="AJ148" s="298" t="str">
        <f t="shared" si="29"/>
        <v>OK</v>
      </c>
      <c r="AK148" s="298" t="str">
        <f t="shared" si="29"/>
        <v>OK</v>
      </c>
      <c r="AL148" s="299" t="str">
        <f t="shared" si="29"/>
        <v>OK</v>
      </c>
    </row>
    <row r="149" spans="2:38" hidden="1" outlineLevel="2">
      <c r="B149" s="291" t="s">
        <v>523</v>
      </c>
      <c r="C149" s="292" t="s">
        <v>523</v>
      </c>
      <c r="D149" s="307" t="s">
        <v>527</v>
      </c>
      <c r="E149" s="294" t="s">
        <v>204</v>
      </c>
      <c r="F149" s="295" t="s">
        <v>204</v>
      </c>
      <c r="G149" s="295" t="s">
        <v>204</v>
      </c>
      <c r="H149" s="296" t="s">
        <v>204</v>
      </c>
      <c r="I149" s="297" t="str">
        <f>IF(I85&gt;=I86,"OK","BŁĄD")</f>
        <v>OK</v>
      </c>
      <c r="J149" s="298" t="str">
        <f t="shared" ref="J149:AL149" si="30">IF(J85&gt;=J86,"OK","BŁĄD")</f>
        <v>OK</v>
      </c>
      <c r="K149" s="298" t="str">
        <f t="shared" si="30"/>
        <v>OK</v>
      </c>
      <c r="L149" s="298" t="str">
        <f t="shared" si="30"/>
        <v>OK</v>
      </c>
      <c r="M149" s="298" t="str">
        <f t="shared" si="30"/>
        <v>OK</v>
      </c>
      <c r="N149" s="298" t="str">
        <f t="shared" si="30"/>
        <v>OK</v>
      </c>
      <c r="O149" s="298" t="str">
        <f t="shared" si="30"/>
        <v>OK</v>
      </c>
      <c r="P149" s="298" t="str">
        <f t="shared" si="30"/>
        <v>OK</v>
      </c>
      <c r="Q149" s="298" t="str">
        <f t="shared" si="30"/>
        <v>OK</v>
      </c>
      <c r="R149" s="298" t="str">
        <f t="shared" si="30"/>
        <v>OK</v>
      </c>
      <c r="S149" s="298" t="str">
        <f t="shared" si="30"/>
        <v>OK</v>
      </c>
      <c r="T149" s="298" t="str">
        <f t="shared" si="30"/>
        <v>OK</v>
      </c>
      <c r="U149" s="298" t="str">
        <f t="shared" si="30"/>
        <v>OK</v>
      </c>
      <c r="V149" s="298" t="str">
        <f t="shared" si="30"/>
        <v>OK</v>
      </c>
      <c r="W149" s="298" t="str">
        <f t="shared" si="30"/>
        <v>OK</v>
      </c>
      <c r="X149" s="298" t="str">
        <f t="shared" si="30"/>
        <v>OK</v>
      </c>
      <c r="Y149" s="298" t="str">
        <f t="shared" si="30"/>
        <v>OK</v>
      </c>
      <c r="Z149" s="298" t="str">
        <f t="shared" si="30"/>
        <v>OK</v>
      </c>
      <c r="AA149" s="298" t="str">
        <f t="shared" si="30"/>
        <v>OK</v>
      </c>
      <c r="AB149" s="298" t="str">
        <f t="shared" si="30"/>
        <v>OK</v>
      </c>
      <c r="AC149" s="298" t="str">
        <f t="shared" si="30"/>
        <v>OK</v>
      </c>
      <c r="AD149" s="298" t="str">
        <f t="shared" si="30"/>
        <v>OK</v>
      </c>
      <c r="AE149" s="298" t="str">
        <f t="shared" si="30"/>
        <v>OK</v>
      </c>
      <c r="AF149" s="298" t="str">
        <f t="shared" si="30"/>
        <v>OK</v>
      </c>
      <c r="AG149" s="298" t="str">
        <f t="shared" si="30"/>
        <v>OK</v>
      </c>
      <c r="AH149" s="298" t="str">
        <f t="shared" si="30"/>
        <v>OK</v>
      </c>
      <c r="AI149" s="298" t="str">
        <f t="shared" si="30"/>
        <v>OK</v>
      </c>
      <c r="AJ149" s="298" t="str">
        <f t="shared" si="30"/>
        <v>OK</v>
      </c>
      <c r="AK149" s="298" t="str">
        <f t="shared" si="30"/>
        <v>OK</v>
      </c>
      <c r="AL149" s="299" t="str">
        <f t="shared" si="30"/>
        <v>OK</v>
      </c>
    </row>
    <row r="150" spans="2:38" hidden="1" outlineLevel="2">
      <c r="B150" s="291" t="s">
        <v>523</v>
      </c>
      <c r="C150" s="292" t="s">
        <v>523</v>
      </c>
      <c r="D150" s="307" t="s">
        <v>528</v>
      </c>
      <c r="E150" s="294" t="s">
        <v>204</v>
      </c>
      <c r="F150" s="295" t="s">
        <v>204</v>
      </c>
      <c r="G150" s="295" t="s">
        <v>204</v>
      </c>
      <c r="H150" s="296" t="s">
        <v>204</v>
      </c>
      <c r="I150" s="297" t="str">
        <f>IF(I87&gt;=I88,"OK","BŁĄD")</f>
        <v>OK</v>
      </c>
      <c r="J150" s="298" t="str">
        <f t="shared" ref="J150:AL150" si="31">IF(J87&gt;=J88,"OK","BŁĄD")</f>
        <v>OK</v>
      </c>
      <c r="K150" s="298" t="str">
        <f t="shared" si="31"/>
        <v>OK</v>
      </c>
      <c r="L150" s="298" t="str">
        <f t="shared" si="31"/>
        <v>OK</v>
      </c>
      <c r="M150" s="298" t="str">
        <f t="shared" si="31"/>
        <v>OK</v>
      </c>
      <c r="N150" s="298" t="str">
        <f t="shared" si="31"/>
        <v>OK</v>
      </c>
      <c r="O150" s="298" t="str">
        <f t="shared" si="31"/>
        <v>OK</v>
      </c>
      <c r="P150" s="298" t="str">
        <f t="shared" si="31"/>
        <v>OK</v>
      </c>
      <c r="Q150" s="298" t="str">
        <f t="shared" si="31"/>
        <v>OK</v>
      </c>
      <c r="R150" s="298" t="str">
        <f t="shared" si="31"/>
        <v>OK</v>
      </c>
      <c r="S150" s="298" t="str">
        <f t="shared" si="31"/>
        <v>OK</v>
      </c>
      <c r="T150" s="298" t="str">
        <f t="shared" si="31"/>
        <v>OK</v>
      </c>
      <c r="U150" s="298" t="str">
        <f t="shared" si="31"/>
        <v>OK</v>
      </c>
      <c r="V150" s="298" t="str">
        <f t="shared" si="31"/>
        <v>OK</v>
      </c>
      <c r="W150" s="298" t="str">
        <f t="shared" si="31"/>
        <v>OK</v>
      </c>
      <c r="X150" s="298" t="str">
        <f t="shared" si="31"/>
        <v>OK</v>
      </c>
      <c r="Y150" s="298" t="str">
        <f t="shared" si="31"/>
        <v>OK</v>
      </c>
      <c r="Z150" s="298" t="str">
        <f t="shared" si="31"/>
        <v>OK</v>
      </c>
      <c r="AA150" s="298" t="str">
        <f t="shared" si="31"/>
        <v>OK</v>
      </c>
      <c r="AB150" s="298" t="str">
        <f t="shared" si="31"/>
        <v>OK</v>
      </c>
      <c r="AC150" s="298" t="str">
        <f t="shared" si="31"/>
        <v>OK</v>
      </c>
      <c r="AD150" s="298" t="str">
        <f t="shared" si="31"/>
        <v>OK</v>
      </c>
      <c r="AE150" s="298" t="str">
        <f t="shared" si="31"/>
        <v>OK</v>
      </c>
      <c r="AF150" s="298" t="str">
        <f t="shared" si="31"/>
        <v>OK</v>
      </c>
      <c r="AG150" s="298" t="str">
        <f t="shared" si="31"/>
        <v>OK</v>
      </c>
      <c r="AH150" s="298" t="str">
        <f t="shared" si="31"/>
        <v>OK</v>
      </c>
      <c r="AI150" s="298" t="str">
        <f t="shared" si="31"/>
        <v>OK</v>
      </c>
      <c r="AJ150" s="298" t="str">
        <f t="shared" si="31"/>
        <v>OK</v>
      </c>
      <c r="AK150" s="298" t="str">
        <f t="shared" si="31"/>
        <v>OK</v>
      </c>
      <c r="AL150" s="299" t="str">
        <f t="shared" si="31"/>
        <v>OK</v>
      </c>
    </row>
    <row r="151" spans="2:38" hidden="1" outlineLevel="2">
      <c r="B151" s="291" t="s">
        <v>523</v>
      </c>
      <c r="C151" s="292" t="s">
        <v>523</v>
      </c>
      <c r="D151" s="307" t="s">
        <v>529</v>
      </c>
      <c r="E151" s="294" t="s">
        <v>204</v>
      </c>
      <c r="F151" s="295" t="s">
        <v>204</v>
      </c>
      <c r="G151" s="295" t="s">
        <v>204</v>
      </c>
      <c r="H151" s="296" t="s">
        <v>204</v>
      </c>
      <c r="I151" s="297" t="str">
        <f>IF(I89&gt;=I90,"OK","BŁĄD")</f>
        <v>OK</v>
      </c>
      <c r="J151" s="298" t="str">
        <f t="shared" ref="J151:AL151" si="32">IF(J89&gt;=J90,"OK","BŁĄD")</f>
        <v>OK</v>
      </c>
      <c r="K151" s="298" t="str">
        <f t="shared" si="32"/>
        <v>OK</v>
      </c>
      <c r="L151" s="298" t="str">
        <f t="shared" si="32"/>
        <v>OK</v>
      </c>
      <c r="M151" s="298" t="str">
        <f t="shared" si="32"/>
        <v>OK</v>
      </c>
      <c r="N151" s="298" t="str">
        <f t="shared" si="32"/>
        <v>OK</v>
      </c>
      <c r="O151" s="298" t="str">
        <f t="shared" si="32"/>
        <v>OK</v>
      </c>
      <c r="P151" s="298" t="str">
        <f t="shared" si="32"/>
        <v>OK</v>
      </c>
      <c r="Q151" s="298" t="str">
        <f t="shared" si="32"/>
        <v>OK</v>
      </c>
      <c r="R151" s="298" t="str">
        <f t="shared" si="32"/>
        <v>OK</v>
      </c>
      <c r="S151" s="298" t="str">
        <f t="shared" si="32"/>
        <v>OK</v>
      </c>
      <c r="T151" s="298" t="str">
        <f t="shared" si="32"/>
        <v>OK</v>
      </c>
      <c r="U151" s="298" t="str">
        <f t="shared" si="32"/>
        <v>OK</v>
      </c>
      <c r="V151" s="298" t="str">
        <f t="shared" si="32"/>
        <v>OK</v>
      </c>
      <c r="W151" s="298" t="str">
        <f t="shared" si="32"/>
        <v>OK</v>
      </c>
      <c r="X151" s="298" t="str">
        <f t="shared" si="32"/>
        <v>OK</v>
      </c>
      <c r="Y151" s="298" t="str">
        <f t="shared" si="32"/>
        <v>OK</v>
      </c>
      <c r="Z151" s="298" t="str">
        <f t="shared" si="32"/>
        <v>OK</v>
      </c>
      <c r="AA151" s="298" t="str">
        <f t="shared" si="32"/>
        <v>OK</v>
      </c>
      <c r="AB151" s="298" t="str">
        <f t="shared" si="32"/>
        <v>OK</v>
      </c>
      <c r="AC151" s="298" t="str">
        <f t="shared" si="32"/>
        <v>OK</v>
      </c>
      <c r="AD151" s="298" t="str">
        <f t="shared" si="32"/>
        <v>OK</v>
      </c>
      <c r="AE151" s="298" t="str">
        <f t="shared" si="32"/>
        <v>OK</v>
      </c>
      <c r="AF151" s="298" t="str">
        <f t="shared" si="32"/>
        <v>OK</v>
      </c>
      <c r="AG151" s="298" t="str">
        <f t="shared" si="32"/>
        <v>OK</v>
      </c>
      <c r="AH151" s="298" t="str">
        <f t="shared" si="32"/>
        <v>OK</v>
      </c>
      <c r="AI151" s="298" t="str">
        <f t="shared" si="32"/>
        <v>OK</v>
      </c>
      <c r="AJ151" s="298" t="str">
        <f t="shared" si="32"/>
        <v>OK</v>
      </c>
      <c r="AK151" s="298" t="str">
        <f t="shared" si="32"/>
        <v>OK</v>
      </c>
      <c r="AL151" s="299" t="str">
        <f t="shared" si="32"/>
        <v>OK</v>
      </c>
    </row>
    <row r="152" spans="2:38" hidden="1" outlineLevel="2">
      <c r="B152" s="291" t="s">
        <v>523</v>
      </c>
      <c r="C152" s="292" t="s">
        <v>523</v>
      </c>
      <c r="D152" s="307" t="s">
        <v>530</v>
      </c>
      <c r="E152" s="294" t="s">
        <v>204</v>
      </c>
      <c r="F152" s="295" t="s">
        <v>204</v>
      </c>
      <c r="G152" s="295" t="s">
        <v>204</v>
      </c>
      <c r="H152" s="296" t="s">
        <v>204</v>
      </c>
      <c r="I152" s="297" t="str">
        <f>IF(I91&gt;=I92,"OK","BŁĄD")</f>
        <v>OK</v>
      </c>
      <c r="J152" s="298" t="str">
        <f t="shared" ref="J152:AL152" si="33">IF(J91&gt;=J92,"OK","BŁĄD")</f>
        <v>OK</v>
      </c>
      <c r="K152" s="298" t="str">
        <f t="shared" si="33"/>
        <v>OK</v>
      </c>
      <c r="L152" s="298" t="str">
        <f t="shared" si="33"/>
        <v>OK</v>
      </c>
      <c r="M152" s="298" t="str">
        <f t="shared" si="33"/>
        <v>OK</v>
      </c>
      <c r="N152" s="298" t="str">
        <f t="shared" si="33"/>
        <v>OK</v>
      </c>
      <c r="O152" s="298" t="str">
        <f t="shared" si="33"/>
        <v>OK</v>
      </c>
      <c r="P152" s="298" t="str">
        <f t="shared" si="33"/>
        <v>OK</v>
      </c>
      <c r="Q152" s="298" t="str">
        <f t="shared" si="33"/>
        <v>OK</v>
      </c>
      <c r="R152" s="298" t="str">
        <f t="shared" si="33"/>
        <v>OK</v>
      </c>
      <c r="S152" s="298" t="str">
        <f t="shared" si="33"/>
        <v>OK</v>
      </c>
      <c r="T152" s="298" t="str">
        <f t="shared" si="33"/>
        <v>OK</v>
      </c>
      <c r="U152" s="298" t="str">
        <f t="shared" si="33"/>
        <v>OK</v>
      </c>
      <c r="V152" s="298" t="str">
        <f t="shared" si="33"/>
        <v>OK</v>
      </c>
      <c r="W152" s="298" t="str">
        <f t="shared" si="33"/>
        <v>OK</v>
      </c>
      <c r="X152" s="298" t="str">
        <f t="shared" si="33"/>
        <v>OK</v>
      </c>
      <c r="Y152" s="298" t="str">
        <f t="shared" si="33"/>
        <v>OK</v>
      </c>
      <c r="Z152" s="298" t="str">
        <f t="shared" si="33"/>
        <v>OK</v>
      </c>
      <c r="AA152" s="298" t="str">
        <f t="shared" si="33"/>
        <v>OK</v>
      </c>
      <c r="AB152" s="298" t="str">
        <f t="shared" si="33"/>
        <v>OK</v>
      </c>
      <c r="AC152" s="298" t="str">
        <f t="shared" si="33"/>
        <v>OK</v>
      </c>
      <c r="AD152" s="298" t="str">
        <f t="shared" si="33"/>
        <v>OK</v>
      </c>
      <c r="AE152" s="298" t="str">
        <f t="shared" si="33"/>
        <v>OK</v>
      </c>
      <c r="AF152" s="298" t="str">
        <f t="shared" si="33"/>
        <v>OK</v>
      </c>
      <c r="AG152" s="298" t="str">
        <f t="shared" si="33"/>
        <v>OK</v>
      </c>
      <c r="AH152" s="298" t="str">
        <f t="shared" si="33"/>
        <v>OK</v>
      </c>
      <c r="AI152" s="298" t="str">
        <f t="shared" si="33"/>
        <v>OK</v>
      </c>
      <c r="AJ152" s="298" t="str">
        <f t="shared" si="33"/>
        <v>OK</v>
      </c>
      <c r="AK152" s="298" t="str">
        <f t="shared" si="33"/>
        <v>OK</v>
      </c>
      <c r="AL152" s="299" t="str">
        <f t="shared" si="33"/>
        <v>OK</v>
      </c>
    </row>
    <row r="153" spans="2:38" hidden="1" outlineLevel="2">
      <c r="B153" s="291" t="s">
        <v>531</v>
      </c>
      <c r="C153" s="292" t="s">
        <v>531</v>
      </c>
      <c r="D153" s="307" t="s">
        <v>532</v>
      </c>
      <c r="E153" s="294" t="s">
        <v>204</v>
      </c>
      <c r="F153" s="295" t="s">
        <v>204</v>
      </c>
      <c r="G153" s="295" t="s">
        <v>204</v>
      </c>
      <c r="H153" s="296" t="s">
        <v>204</v>
      </c>
      <c r="I153" s="297" t="str">
        <f t="shared" ref="I153:AL153" si="34">IF(I94&gt;=I96,"OK","BŁĄD")</f>
        <v>OK</v>
      </c>
      <c r="J153" s="298" t="str">
        <f t="shared" si="34"/>
        <v>OK</v>
      </c>
      <c r="K153" s="298" t="str">
        <f t="shared" si="34"/>
        <v>OK</v>
      </c>
      <c r="L153" s="298" t="str">
        <f t="shared" si="34"/>
        <v>OK</v>
      </c>
      <c r="M153" s="298" t="str">
        <f t="shared" si="34"/>
        <v>OK</v>
      </c>
      <c r="N153" s="298" t="str">
        <f t="shared" si="34"/>
        <v>OK</v>
      </c>
      <c r="O153" s="298" t="str">
        <f t="shared" si="34"/>
        <v>OK</v>
      </c>
      <c r="P153" s="298" t="str">
        <f t="shared" si="34"/>
        <v>OK</v>
      </c>
      <c r="Q153" s="298" t="str">
        <f t="shared" si="34"/>
        <v>OK</v>
      </c>
      <c r="R153" s="298" t="str">
        <f t="shared" si="34"/>
        <v>OK</v>
      </c>
      <c r="S153" s="298" t="str">
        <f t="shared" si="34"/>
        <v>OK</v>
      </c>
      <c r="T153" s="298" t="str">
        <f t="shared" si="34"/>
        <v>OK</v>
      </c>
      <c r="U153" s="298" t="str">
        <f t="shared" si="34"/>
        <v>OK</v>
      </c>
      <c r="V153" s="298" t="str">
        <f t="shared" si="34"/>
        <v>OK</v>
      </c>
      <c r="W153" s="298" t="str">
        <f t="shared" si="34"/>
        <v>OK</v>
      </c>
      <c r="X153" s="298" t="str">
        <f t="shared" si="34"/>
        <v>OK</v>
      </c>
      <c r="Y153" s="298" t="str">
        <f t="shared" si="34"/>
        <v>OK</v>
      </c>
      <c r="Z153" s="298" t="str">
        <f t="shared" si="34"/>
        <v>OK</v>
      </c>
      <c r="AA153" s="298" t="str">
        <f t="shared" si="34"/>
        <v>OK</v>
      </c>
      <c r="AB153" s="298" t="str">
        <f t="shared" si="34"/>
        <v>OK</v>
      </c>
      <c r="AC153" s="298" t="str">
        <f t="shared" si="34"/>
        <v>OK</v>
      </c>
      <c r="AD153" s="298" t="str">
        <f t="shared" si="34"/>
        <v>OK</v>
      </c>
      <c r="AE153" s="298" t="str">
        <f t="shared" si="34"/>
        <v>OK</v>
      </c>
      <c r="AF153" s="298" t="str">
        <f t="shared" si="34"/>
        <v>OK</v>
      </c>
      <c r="AG153" s="298" t="str">
        <f t="shared" si="34"/>
        <v>OK</v>
      </c>
      <c r="AH153" s="298" t="str">
        <f t="shared" si="34"/>
        <v>OK</v>
      </c>
      <c r="AI153" s="298" t="str">
        <f t="shared" si="34"/>
        <v>OK</v>
      </c>
      <c r="AJ153" s="298" t="str">
        <f t="shared" si="34"/>
        <v>OK</v>
      </c>
      <c r="AK153" s="298" t="str">
        <f t="shared" si="34"/>
        <v>OK</v>
      </c>
      <c r="AL153" s="299" t="str">
        <f t="shared" si="34"/>
        <v>OK</v>
      </c>
    </row>
    <row r="154" spans="2:38" hidden="1" outlineLevel="2">
      <c r="B154" s="291" t="s">
        <v>533</v>
      </c>
      <c r="C154" s="292" t="s">
        <v>533</v>
      </c>
      <c r="D154" s="307" t="s">
        <v>534</v>
      </c>
      <c r="E154" s="294" t="s">
        <v>204</v>
      </c>
      <c r="F154" s="295" t="s">
        <v>204</v>
      </c>
      <c r="G154" s="295" t="s">
        <v>204</v>
      </c>
      <c r="H154" s="296" t="s">
        <v>204</v>
      </c>
      <c r="I154" s="297" t="str">
        <f t="shared" ref="I154:AL154" si="35">IF(I97&gt;=I23,"OK","BŁĄD")</f>
        <v>OK</v>
      </c>
      <c r="J154" s="298" t="str">
        <f t="shared" si="35"/>
        <v>OK</v>
      </c>
      <c r="K154" s="298" t="str">
        <f t="shared" si="35"/>
        <v>OK</v>
      </c>
      <c r="L154" s="298" t="str">
        <f t="shared" si="35"/>
        <v>OK</v>
      </c>
      <c r="M154" s="298" t="str">
        <f t="shared" si="35"/>
        <v>OK</v>
      </c>
      <c r="N154" s="298" t="str">
        <f t="shared" si="35"/>
        <v>OK</v>
      </c>
      <c r="O154" s="298" t="str">
        <f t="shared" si="35"/>
        <v>OK</v>
      </c>
      <c r="P154" s="298" t="str">
        <f t="shared" si="35"/>
        <v>OK</v>
      </c>
      <c r="Q154" s="298" t="str">
        <f t="shared" si="35"/>
        <v>OK</v>
      </c>
      <c r="R154" s="298" t="str">
        <f t="shared" si="35"/>
        <v>OK</v>
      </c>
      <c r="S154" s="298" t="str">
        <f t="shared" si="35"/>
        <v>OK</v>
      </c>
      <c r="T154" s="298" t="str">
        <f t="shared" si="35"/>
        <v>OK</v>
      </c>
      <c r="U154" s="298" t="str">
        <f t="shared" si="35"/>
        <v>OK</v>
      </c>
      <c r="V154" s="298" t="str">
        <f t="shared" si="35"/>
        <v>OK</v>
      </c>
      <c r="W154" s="298" t="str">
        <f t="shared" si="35"/>
        <v>OK</v>
      </c>
      <c r="X154" s="298" t="str">
        <f t="shared" si="35"/>
        <v>OK</v>
      </c>
      <c r="Y154" s="298" t="str">
        <f t="shared" si="35"/>
        <v>OK</v>
      </c>
      <c r="Z154" s="298" t="str">
        <f t="shared" si="35"/>
        <v>OK</v>
      </c>
      <c r="AA154" s="298" t="str">
        <f t="shared" si="35"/>
        <v>OK</v>
      </c>
      <c r="AB154" s="298" t="str">
        <f t="shared" si="35"/>
        <v>OK</v>
      </c>
      <c r="AC154" s="298" t="str">
        <f t="shared" si="35"/>
        <v>OK</v>
      </c>
      <c r="AD154" s="298" t="str">
        <f t="shared" si="35"/>
        <v>OK</v>
      </c>
      <c r="AE154" s="298" t="str">
        <f t="shared" si="35"/>
        <v>OK</v>
      </c>
      <c r="AF154" s="298" t="str">
        <f t="shared" si="35"/>
        <v>OK</v>
      </c>
      <c r="AG154" s="298" t="str">
        <f t="shared" si="35"/>
        <v>OK</v>
      </c>
      <c r="AH154" s="298" t="str">
        <f t="shared" si="35"/>
        <v>OK</v>
      </c>
      <c r="AI154" s="298" t="str">
        <f t="shared" si="35"/>
        <v>OK</v>
      </c>
      <c r="AJ154" s="298" t="str">
        <f t="shared" si="35"/>
        <v>OK</v>
      </c>
      <c r="AK154" s="298" t="str">
        <f t="shared" si="35"/>
        <v>OK</v>
      </c>
      <c r="AL154" s="299" t="str">
        <f t="shared" si="35"/>
        <v>OK</v>
      </c>
    </row>
    <row r="155" spans="2:38" hidden="1" outlineLevel="2">
      <c r="B155" s="291" t="s">
        <v>535</v>
      </c>
      <c r="C155" s="292" t="s">
        <v>535</v>
      </c>
      <c r="D155" s="307" t="s">
        <v>536</v>
      </c>
      <c r="E155" s="294" t="s">
        <v>204</v>
      </c>
      <c r="F155" s="295" t="s">
        <v>204</v>
      </c>
      <c r="G155" s="295" t="s">
        <v>204</v>
      </c>
      <c r="H155" s="296" t="s">
        <v>204</v>
      </c>
      <c r="I155" s="297" t="str">
        <f t="shared" ref="I155:AL155" si="36">IF(I104&gt;=(I105+I106+I107),"OK","BŁĄD")</f>
        <v>OK</v>
      </c>
      <c r="J155" s="298" t="str">
        <f t="shared" si="36"/>
        <v>OK</v>
      </c>
      <c r="K155" s="298" t="str">
        <f t="shared" si="36"/>
        <v>OK</v>
      </c>
      <c r="L155" s="298" t="str">
        <f t="shared" si="36"/>
        <v>OK</v>
      </c>
      <c r="M155" s="298" t="str">
        <f t="shared" si="36"/>
        <v>OK</v>
      </c>
      <c r="N155" s="298" t="str">
        <f t="shared" si="36"/>
        <v>OK</v>
      </c>
      <c r="O155" s="298" t="str">
        <f t="shared" si="36"/>
        <v>OK</v>
      </c>
      <c r="P155" s="298" t="str">
        <f t="shared" si="36"/>
        <v>OK</v>
      </c>
      <c r="Q155" s="298" t="str">
        <f t="shared" si="36"/>
        <v>OK</v>
      </c>
      <c r="R155" s="298" t="str">
        <f t="shared" si="36"/>
        <v>OK</v>
      </c>
      <c r="S155" s="298" t="str">
        <f t="shared" si="36"/>
        <v>OK</v>
      </c>
      <c r="T155" s="298" t="str">
        <f t="shared" si="36"/>
        <v>OK</v>
      </c>
      <c r="U155" s="298" t="str">
        <f t="shared" si="36"/>
        <v>OK</v>
      </c>
      <c r="V155" s="298" t="str">
        <f t="shared" si="36"/>
        <v>OK</v>
      </c>
      <c r="W155" s="298" t="str">
        <f t="shared" si="36"/>
        <v>OK</v>
      </c>
      <c r="X155" s="298" t="str">
        <f t="shared" si="36"/>
        <v>OK</v>
      </c>
      <c r="Y155" s="298" t="str">
        <f t="shared" si="36"/>
        <v>OK</v>
      </c>
      <c r="Z155" s="298" t="str">
        <f t="shared" si="36"/>
        <v>OK</v>
      </c>
      <c r="AA155" s="298" t="str">
        <f t="shared" si="36"/>
        <v>OK</v>
      </c>
      <c r="AB155" s="298" t="str">
        <f t="shared" si="36"/>
        <v>OK</v>
      </c>
      <c r="AC155" s="298" t="str">
        <f t="shared" si="36"/>
        <v>OK</v>
      </c>
      <c r="AD155" s="298" t="str">
        <f t="shared" si="36"/>
        <v>OK</v>
      </c>
      <c r="AE155" s="298" t="str">
        <f t="shared" si="36"/>
        <v>OK</v>
      </c>
      <c r="AF155" s="298" t="str">
        <f t="shared" si="36"/>
        <v>OK</v>
      </c>
      <c r="AG155" s="298" t="str">
        <f t="shared" si="36"/>
        <v>OK</v>
      </c>
      <c r="AH155" s="298" t="str">
        <f t="shared" si="36"/>
        <v>OK</v>
      </c>
      <c r="AI155" s="298" t="str">
        <f t="shared" si="36"/>
        <v>OK</v>
      </c>
      <c r="AJ155" s="298" t="str">
        <f t="shared" si="36"/>
        <v>OK</v>
      </c>
      <c r="AK155" s="298" t="str">
        <f t="shared" si="36"/>
        <v>OK</v>
      </c>
      <c r="AL155" s="299" t="str">
        <f t="shared" si="36"/>
        <v>OK</v>
      </c>
    </row>
    <row r="156" spans="2:38" hidden="1" outlineLevel="2">
      <c r="B156" s="291" t="s">
        <v>531</v>
      </c>
      <c r="C156" s="292" t="s">
        <v>531</v>
      </c>
      <c r="D156" s="307" t="s">
        <v>537</v>
      </c>
      <c r="E156" s="294" t="s">
        <v>204</v>
      </c>
      <c r="F156" s="295" t="s">
        <v>204</v>
      </c>
      <c r="G156" s="295" t="s">
        <v>204</v>
      </c>
      <c r="H156" s="296" t="s">
        <v>204</v>
      </c>
      <c r="I156" s="297" t="str">
        <f>IF(I110&gt;=I111,"OK","BŁĄD")</f>
        <v>OK</v>
      </c>
      <c r="J156" s="298" t="str">
        <f t="shared" ref="J156:AL156" si="37">IF(J110&gt;=J111,"OK","BŁĄD")</f>
        <v>OK</v>
      </c>
      <c r="K156" s="298" t="str">
        <f t="shared" si="37"/>
        <v>OK</v>
      </c>
      <c r="L156" s="298" t="str">
        <f t="shared" si="37"/>
        <v>OK</v>
      </c>
      <c r="M156" s="298" t="str">
        <f t="shared" si="37"/>
        <v>OK</v>
      </c>
      <c r="N156" s="298" t="str">
        <f t="shared" si="37"/>
        <v>OK</v>
      </c>
      <c r="O156" s="298" t="str">
        <f t="shared" si="37"/>
        <v>OK</v>
      </c>
      <c r="P156" s="298" t="str">
        <f t="shared" si="37"/>
        <v>OK</v>
      </c>
      <c r="Q156" s="298" t="str">
        <f t="shared" si="37"/>
        <v>OK</v>
      </c>
      <c r="R156" s="298" t="str">
        <f t="shared" si="37"/>
        <v>OK</v>
      </c>
      <c r="S156" s="298" t="str">
        <f t="shared" si="37"/>
        <v>OK</v>
      </c>
      <c r="T156" s="298" t="str">
        <f t="shared" si="37"/>
        <v>OK</v>
      </c>
      <c r="U156" s="298" t="str">
        <f t="shared" si="37"/>
        <v>OK</v>
      </c>
      <c r="V156" s="298" t="str">
        <f t="shared" si="37"/>
        <v>OK</v>
      </c>
      <c r="W156" s="298" t="str">
        <f t="shared" si="37"/>
        <v>OK</v>
      </c>
      <c r="X156" s="298" t="str">
        <f t="shared" si="37"/>
        <v>OK</v>
      </c>
      <c r="Y156" s="298" t="str">
        <f t="shared" si="37"/>
        <v>OK</v>
      </c>
      <c r="Z156" s="298" t="str">
        <f t="shared" si="37"/>
        <v>OK</v>
      </c>
      <c r="AA156" s="298" t="str">
        <f t="shared" si="37"/>
        <v>OK</v>
      </c>
      <c r="AB156" s="298" t="str">
        <f t="shared" si="37"/>
        <v>OK</v>
      </c>
      <c r="AC156" s="298" t="str">
        <f t="shared" si="37"/>
        <v>OK</v>
      </c>
      <c r="AD156" s="298" t="str">
        <f t="shared" si="37"/>
        <v>OK</v>
      </c>
      <c r="AE156" s="298" t="str">
        <f t="shared" si="37"/>
        <v>OK</v>
      </c>
      <c r="AF156" s="298" t="str">
        <f t="shared" si="37"/>
        <v>OK</v>
      </c>
      <c r="AG156" s="298" t="str">
        <f t="shared" si="37"/>
        <v>OK</v>
      </c>
      <c r="AH156" s="298" t="str">
        <f t="shared" si="37"/>
        <v>OK</v>
      </c>
      <c r="AI156" s="298" t="str">
        <f t="shared" si="37"/>
        <v>OK</v>
      </c>
      <c r="AJ156" s="298" t="str">
        <f t="shared" si="37"/>
        <v>OK</v>
      </c>
      <c r="AK156" s="298" t="str">
        <f t="shared" si="37"/>
        <v>OK</v>
      </c>
      <c r="AL156" s="299" t="str">
        <f t="shared" si="37"/>
        <v>OK</v>
      </c>
    </row>
    <row r="157" spans="2:38" hidden="1" outlineLevel="2">
      <c r="B157" s="291" t="s">
        <v>538</v>
      </c>
      <c r="C157" s="292" t="s">
        <v>538</v>
      </c>
      <c r="D157" s="307" t="s">
        <v>539</v>
      </c>
      <c r="E157" s="294" t="s">
        <v>204</v>
      </c>
      <c r="F157" s="295" t="s">
        <v>204</v>
      </c>
      <c r="G157" s="295" t="s">
        <v>204</v>
      </c>
      <c r="H157" s="296" t="s">
        <v>204</v>
      </c>
      <c r="I157" s="297" t="str">
        <f t="shared" ref="I157:AL157" si="38">IF(I21&gt;=I22,"OK","BŁĄD")</f>
        <v>OK</v>
      </c>
      <c r="J157" s="298" t="str">
        <f t="shared" si="38"/>
        <v>OK</v>
      </c>
      <c r="K157" s="298" t="str">
        <f t="shared" si="38"/>
        <v>OK</v>
      </c>
      <c r="L157" s="298" t="str">
        <f t="shared" si="38"/>
        <v>OK</v>
      </c>
      <c r="M157" s="298" t="str">
        <f t="shared" si="38"/>
        <v>OK</v>
      </c>
      <c r="N157" s="298" t="str">
        <f t="shared" si="38"/>
        <v>OK</v>
      </c>
      <c r="O157" s="298" t="str">
        <f t="shared" si="38"/>
        <v>OK</v>
      </c>
      <c r="P157" s="298" t="str">
        <f t="shared" si="38"/>
        <v>OK</v>
      </c>
      <c r="Q157" s="298" t="str">
        <f t="shared" si="38"/>
        <v>OK</v>
      </c>
      <c r="R157" s="298" t="str">
        <f t="shared" si="38"/>
        <v>OK</v>
      </c>
      <c r="S157" s="298" t="str">
        <f t="shared" si="38"/>
        <v>OK</v>
      </c>
      <c r="T157" s="298" t="str">
        <f t="shared" si="38"/>
        <v>OK</v>
      </c>
      <c r="U157" s="298" t="str">
        <f t="shared" si="38"/>
        <v>OK</v>
      </c>
      <c r="V157" s="298" t="str">
        <f t="shared" si="38"/>
        <v>OK</v>
      </c>
      <c r="W157" s="298" t="str">
        <f t="shared" si="38"/>
        <v>OK</v>
      </c>
      <c r="X157" s="298" t="str">
        <f t="shared" si="38"/>
        <v>OK</v>
      </c>
      <c r="Y157" s="298" t="str">
        <f t="shared" si="38"/>
        <v>OK</v>
      </c>
      <c r="Z157" s="298" t="str">
        <f t="shared" si="38"/>
        <v>OK</v>
      </c>
      <c r="AA157" s="298" t="str">
        <f t="shared" si="38"/>
        <v>OK</v>
      </c>
      <c r="AB157" s="298" t="str">
        <f t="shared" si="38"/>
        <v>OK</v>
      </c>
      <c r="AC157" s="298" t="str">
        <f t="shared" si="38"/>
        <v>OK</v>
      </c>
      <c r="AD157" s="298" t="str">
        <f t="shared" si="38"/>
        <v>OK</v>
      </c>
      <c r="AE157" s="298" t="str">
        <f t="shared" si="38"/>
        <v>OK</v>
      </c>
      <c r="AF157" s="298" t="str">
        <f t="shared" si="38"/>
        <v>OK</v>
      </c>
      <c r="AG157" s="298" t="str">
        <f t="shared" si="38"/>
        <v>OK</v>
      </c>
      <c r="AH157" s="298" t="str">
        <f t="shared" si="38"/>
        <v>OK</v>
      </c>
      <c r="AI157" s="298" t="str">
        <f t="shared" si="38"/>
        <v>OK</v>
      </c>
      <c r="AJ157" s="298" t="str">
        <f t="shared" si="38"/>
        <v>OK</v>
      </c>
      <c r="AK157" s="298" t="str">
        <f t="shared" si="38"/>
        <v>OK</v>
      </c>
      <c r="AL157" s="299" t="str">
        <f t="shared" si="38"/>
        <v>OK</v>
      </c>
    </row>
    <row r="158" spans="2:38" hidden="1" outlineLevel="2">
      <c r="B158" s="291" t="s">
        <v>540</v>
      </c>
      <c r="C158" s="292" t="s">
        <v>540</v>
      </c>
      <c r="D158" s="307" t="s">
        <v>541</v>
      </c>
      <c r="E158" s="294" t="s">
        <v>204</v>
      </c>
      <c r="F158" s="295" t="s">
        <v>204</v>
      </c>
      <c r="G158" s="295" t="s">
        <v>204</v>
      </c>
      <c r="H158" s="296" t="s">
        <v>204</v>
      </c>
      <c r="I158" s="297" t="str">
        <f t="shared" ref="I158:AL158" si="39">IF(I21&gt;=I107,"OK","BŁĄD")</f>
        <v>OK</v>
      </c>
      <c r="J158" s="298" t="str">
        <f t="shared" si="39"/>
        <v>OK</v>
      </c>
      <c r="K158" s="298" t="str">
        <f t="shared" si="39"/>
        <v>OK</v>
      </c>
      <c r="L158" s="298" t="str">
        <f t="shared" si="39"/>
        <v>OK</v>
      </c>
      <c r="M158" s="298" t="str">
        <f t="shared" si="39"/>
        <v>OK</v>
      </c>
      <c r="N158" s="298" t="str">
        <f t="shared" si="39"/>
        <v>OK</v>
      </c>
      <c r="O158" s="298" t="str">
        <f t="shared" si="39"/>
        <v>OK</v>
      </c>
      <c r="P158" s="298" t="str">
        <f t="shared" si="39"/>
        <v>OK</v>
      </c>
      <c r="Q158" s="298" t="str">
        <f t="shared" si="39"/>
        <v>OK</v>
      </c>
      <c r="R158" s="298" t="str">
        <f t="shared" si="39"/>
        <v>OK</v>
      </c>
      <c r="S158" s="298" t="str">
        <f t="shared" si="39"/>
        <v>OK</v>
      </c>
      <c r="T158" s="298" t="str">
        <f t="shared" si="39"/>
        <v>OK</v>
      </c>
      <c r="U158" s="298" t="str">
        <f t="shared" si="39"/>
        <v>OK</v>
      </c>
      <c r="V158" s="298" t="str">
        <f t="shared" si="39"/>
        <v>OK</v>
      </c>
      <c r="W158" s="298" t="str">
        <f t="shared" si="39"/>
        <v>OK</v>
      </c>
      <c r="X158" s="298" t="str">
        <f t="shared" si="39"/>
        <v>OK</v>
      </c>
      <c r="Y158" s="298" t="str">
        <f t="shared" si="39"/>
        <v>OK</v>
      </c>
      <c r="Z158" s="298" t="str">
        <f t="shared" si="39"/>
        <v>OK</v>
      </c>
      <c r="AA158" s="298" t="str">
        <f t="shared" si="39"/>
        <v>OK</v>
      </c>
      <c r="AB158" s="298" t="str">
        <f t="shared" si="39"/>
        <v>OK</v>
      </c>
      <c r="AC158" s="298" t="str">
        <f t="shared" si="39"/>
        <v>OK</v>
      </c>
      <c r="AD158" s="298" t="str">
        <f t="shared" si="39"/>
        <v>OK</v>
      </c>
      <c r="AE158" s="298" t="str">
        <f t="shared" si="39"/>
        <v>OK</v>
      </c>
      <c r="AF158" s="298" t="str">
        <f t="shared" si="39"/>
        <v>OK</v>
      </c>
      <c r="AG158" s="298" t="str">
        <f t="shared" si="39"/>
        <v>OK</v>
      </c>
      <c r="AH158" s="298" t="str">
        <f t="shared" si="39"/>
        <v>OK</v>
      </c>
      <c r="AI158" s="298" t="str">
        <f t="shared" si="39"/>
        <v>OK</v>
      </c>
      <c r="AJ158" s="298" t="str">
        <f t="shared" si="39"/>
        <v>OK</v>
      </c>
      <c r="AK158" s="298" t="str">
        <f t="shared" si="39"/>
        <v>OK</v>
      </c>
      <c r="AL158" s="299" t="str">
        <f t="shared" si="39"/>
        <v>OK</v>
      </c>
    </row>
    <row r="159" spans="2:38" hidden="1" outlineLevel="2">
      <c r="B159" s="291" t="s">
        <v>542</v>
      </c>
      <c r="C159" s="292" t="s">
        <v>542</v>
      </c>
      <c r="D159" s="307" t="s">
        <v>543</v>
      </c>
      <c r="E159" s="294" t="s">
        <v>204</v>
      </c>
      <c r="F159" s="295" t="s">
        <v>204</v>
      </c>
      <c r="G159" s="295" t="s">
        <v>204</v>
      </c>
      <c r="H159" s="296" t="s">
        <v>204</v>
      </c>
      <c r="I159" s="297" t="str">
        <f t="shared" ref="I159:AL160" si="40">IF(I24&gt;=I25,"OK","BŁĄD")</f>
        <v>OK</v>
      </c>
      <c r="J159" s="298" t="str">
        <f t="shared" si="40"/>
        <v>OK</v>
      </c>
      <c r="K159" s="298" t="str">
        <f t="shared" si="40"/>
        <v>OK</v>
      </c>
      <c r="L159" s="298" t="str">
        <f t="shared" si="40"/>
        <v>OK</v>
      </c>
      <c r="M159" s="298" t="str">
        <f t="shared" si="40"/>
        <v>OK</v>
      </c>
      <c r="N159" s="298" t="str">
        <f t="shared" si="40"/>
        <v>OK</v>
      </c>
      <c r="O159" s="298" t="str">
        <f t="shared" si="40"/>
        <v>OK</v>
      </c>
      <c r="P159" s="298" t="str">
        <f t="shared" si="40"/>
        <v>OK</v>
      </c>
      <c r="Q159" s="298" t="str">
        <f t="shared" si="40"/>
        <v>OK</v>
      </c>
      <c r="R159" s="298" t="str">
        <f t="shared" si="40"/>
        <v>OK</v>
      </c>
      <c r="S159" s="298" t="str">
        <f t="shared" si="40"/>
        <v>OK</v>
      </c>
      <c r="T159" s="298" t="str">
        <f t="shared" si="40"/>
        <v>OK</v>
      </c>
      <c r="U159" s="298" t="str">
        <f t="shared" si="40"/>
        <v>OK</v>
      </c>
      <c r="V159" s="298" t="str">
        <f t="shared" si="40"/>
        <v>OK</v>
      </c>
      <c r="W159" s="298" t="str">
        <f t="shared" si="40"/>
        <v>OK</v>
      </c>
      <c r="X159" s="298" t="str">
        <f t="shared" si="40"/>
        <v>OK</v>
      </c>
      <c r="Y159" s="298" t="str">
        <f t="shared" si="40"/>
        <v>OK</v>
      </c>
      <c r="Z159" s="298" t="str">
        <f t="shared" si="40"/>
        <v>OK</v>
      </c>
      <c r="AA159" s="298" t="str">
        <f t="shared" si="40"/>
        <v>OK</v>
      </c>
      <c r="AB159" s="298" t="str">
        <f t="shared" si="40"/>
        <v>OK</v>
      </c>
      <c r="AC159" s="298" t="str">
        <f t="shared" si="40"/>
        <v>OK</v>
      </c>
      <c r="AD159" s="298" t="str">
        <f t="shared" si="40"/>
        <v>OK</v>
      </c>
      <c r="AE159" s="298" t="str">
        <f t="shared" si="40"/>
        <v>OK</v>
      </c>
      <c r="AF159" s="298" t="str">
        <f t="shared" si="40"/>
        <v>OK</v>
      </c>
      <c r="AG159" s="298" t="str">
        <f t="shared" si="40"/>
        <v>OK</v>
      </c>
      <c r="AH159" s="298" t="str">
        <f t="shared" si="40"/>
        <v>OK</v>
      </c>
      <c r="AI159" s="298" t="str">
        <f t="shared" si="40"/>
        <v>OK</v>
      </c>
      <c r="AJ159" s="298" t="str">
        <f t="shared" si="40"/>
        <v>OK</v>
      </c>
      <c r="AK159" s="298" t="str">
        <f t="shared" si="40"/>
        <v>OK</v>
      </c>
      <c r="AL159" s="299" t="str">
        <f t="shared" si="40"/>
        <v>OK</v>
      </c>
    </row>
    <row r="160" spans="2:38" hidden="1" outlineLevel="2">
      <c r="B160" s="291" t="s">
        <v>542</v>
      </c>
      <c r="C160" s="292" t="s">
        <v>542</v>
      </c>
      <c r="D160" s="307" t="s">
        <v>544</v>
      </c>
      <c r="E160" s="294" t="s">
        <v>204</v>
      </c>
      <c r="F160" s="295" t="s">
        <v>204</v>
      </c>
      <c r="G160" s="295" t="s">
        <v>204</v>
      </c>
      <c r="H160" s="296" t="s">
        <v>204</v>
      </c>
      <c r="I160" s="297" t="str">
        <f>IF(I25&gt;=(I26+I27),"OK","BŁĄD")</f>
        <v>OK</v>
      </c>
      <c r="J160" s="298" t="str">
        <f t="shared" si="40"/>
        <v>OK</v>
      </c>
      <c r="K160" s="298" t="str">
        <f t="shared" si="40"/>
        <v>OK</v>
      </c>
      <c r="L160" s="298" t="str">
        <f t="shared" si="40"/>
        <v>OK</v>
      </c>
      <c r="M160" s="298" t="str">
        <f t="shared" si="40"/>
        <v>OK</v>
      </c>
      <c r="N160" s="298" t="str">
        <f t="shared" si="40"/>
        <v>OK</v>
      </c>
      <c r="O160" s="298" t="str">
        <f t="shared" si="40"/>
        <v>OK</v>
      </c>
      <c r="P160" s="298" t="str">
        <f t="shared" si="40"/>
        <v>OK</v>
      </c>
      <c r="Q160" s="298" t="str">
        <f t="shared" si="40"/>
        <v>OK</v>
      </c>
      <c r="R160" s="298" t="str">
        <f t="shared" si="40"/>
        <v>OK</v>
      </c>
      <c r="S160" s="298" t="str">
        <f t="shared" si="40"/>
        <v>OK</v>
      </c>
      <c r="T160" s="298" t="str">
        <f t="shared" si="40"/>
        <v>OK</v>
      </c>
      <c r="U160" s="298" t="str">
        <f t="shared" si="40"/>
        <v>OK</v>
      </c>
      <c r="V160" s="298" t="str">
        <f t="shared" si="40"/>
        <v>OK</v>
      </c>
      <c r="W160" s="298" t="str">
        <f t="shared" si="40"/>
        <v>OK</v>
      </c>
      <c r="X160" s="298" t="str">
        <f t="shared" si="40"/>
        <v>OK</v>
      </c>
      <c r="Y160" s="298" t="str">
        <f t="shared" si="40"/>
        <v>OK</v>
      </c>
      <c r="Z160" s="298" t="str">
        <f t="shared" si="40"/>
        <v>OK</v>
      </c>
      <c r="AA160" s="298" t="str">
        <f t="shared" si="40"/>
        <v>OK</v>
      </c>
      <c r="AB160" s="298" t="str">
        <f t="shared" si="40"/>
        <v>OK</v>
      </c>
      <c r="AC160" s="298" t="str">
        <f t="shared" si="40"/>
        <v>OK</v>
      </c>
      <c r="AD160" s="298" t="str">
        <f t="shared" si="40"/>
        <v>OK</v>
      </c>
      <c r="AE160" s="298" t="str">
        <f t="shared" si="40"/>
        <v>OK</v>
      </c>
      <c r="AF160" s="298" t="str">
        <f t="shared" si="40"/>
        <v>OK</v>
      </c>
      <c r="AG160" s="298" t="str">
        <f t="shared" si="40"/>
        <v>OK</v>
      </c>
      <c r="AH160" s="298" t="str">
        <f t="shared" si="40"/>
        <v>OK</v>
      </c>
      <c r="AI160" s="298" t="str">
        <f t="shared" si="40"/>
        <v>OK</v>
      </c>
      <c r="AJ160" s="298" t="str">
        <f t="shared" si="40"/>
        <v>OK</v>
      </c>
      <c r="AK160" s="298" t="str">
        <f t="shared" si="40"/>
        <v>OK</v>
      </c>
      <c r="AL160" s="299" t="str">
        <f t="shared" si="40"/>
        <v>OK</v>
      </c>
    </row>
    <row r="161" spans="2:38" hidden="1" outlineLevel="2">
      <c r="B161" s="291" t="s">
        <v>545</v>
      </c>
      <c r="C161" s="292" t="s">
        <v>545</v>
      </c>
      <c r="D161" s="307" t="s">
        <v>546</v>
      </c>
      <c r="E161" s="294" t="s">
        <v>204</v>
      </c>
      <c r="F161" s="295" t="s">
        <v>204</v>
      </c>
      <c r="G161" s="295" t="s">
        <v>204</v>
      </c>
      <c r="H161" s="296" t="s">
        <v>204</v>
      </c>
      <c r="I161" s="297" t="str">
        <f t="shared" ref="I161:AL161" si="41">IF(I20&gt;=(I21+I23+I24),"OK","BŁĄD")</f>
        <v>OK</v>
      </c>
      <c r="J161" s="298" t="str">
        <f t="shared" si="41"/>
        <v>OK</v>
      </c>
      <c r="K161" s="298" t="str">
        <f t="shared" si="41"/>
        <v>OK</v>
      </c>
      <c r="L161" s="298" t="str">
        <f t="shared" si="41"/>
        <v>OK</v>
      </c>
      <c r="M161" s="298" t="str">
        <f t="shared" si="41"/>
        <v>OK</v>
      </c>
      <c r="N161" s="298" t="str">
        <f t="shared" si="41"/>
        <v>OK</v>
      </c>
      <c r="O161" s="298" t="str">
        <f t="shared" si="41"/>
        <v>OK</v>
      </c>
      <c r="P161" s="298" t="str">
        <f t="shared" si="41"/>
        <v>OK</v>
      </c>
      <c r="Q161" s="298" t="str">
        <f t="shared" si="41"/>
        <v>OK</v>
      </c>
      <c r="R161" s="298" t="str">
        <f t="shared" si="41"/>
        <v>OK</v>
      </c>
      <c r="S161" s="298" t="str">
        <f t="shared" si="41"/>
        <v>OK</v>
      </c>
      <c r="T161" s="298" t="str">
        <f t="shared" si="41"/>
        <v>OK</v>
      </c>
      <c r="U161" s="298" t="str">
        <f t="shared" si="41"/>
        <v>OK</v>
      </c>
      <c r="V161" s="298" t="str">
        <f t="shared" si="41"/>
        <v>OK</v>
      </c>
      <c r="W161" s="298" t="str">
        <f t="shared" si="41"/>
        <v>OK</v>
      </c>
      <c r="X161" s="298" t="str">
        <f t="shared" si="41"/>
        <v>OK</v>
      </c>
      <c r="Y161" s="298" t="str">
        <f t="shared" si="41"/>
        <v>OK</v>
      </c>
      <c r="Z161" s="298" t="str">
        <f t="shared" si="41"/>
        <v>OK</v>
      </c>
      <c r="AA161" s="298" t="str">
        <f t="shared" si="41"/>
        <v>OK</v>
      </c>
      <c r="AB161" s="298" t="str">
        <f t="shared" si="41"/>
        <v>OK</v>
      </c>
      <c r="AC161" s="298" t="str">
        <f t="shared" si="41"/>
        <v>OK</v>
      </c>
      <c r="AD161" s="298" t="str">
        <f t="shared" si="41"/>
        <v>OK</v>
      </c>
      <c r="AE161" s="298" t="str">
        <f t="shared" si="41"/>
        <v>OK</v>
      </c>
      <c r="AF161" s="298" t="str">
        <f t="shared" si="41"/>
        <v>OK</v>
      </c>
      <c r="AG161" s="298" t="str">
        <f t="shared" si="41"/>
        <v>OK</v>
      </c>
      <c r="AH161" s="298" t="str">
        <f t="shared" si="41"/>
        <v>OK</v>
      </c>
      <c r="AI161" s="298" t="str">
        <f t="shared" si="41"/>
        <v>OK</v>
      </c>
      <c r="AJ161" s="298" t="str">
        <f t="shared" si="41"/>
        <v>OK</v>
      </c>
      <c r="AK161" s="298" t="str">
        <f t="shared" si="41"/>
        <v>OK</v>
      </c>
      <c r="AL161" s="299" t="str">
        <f t="shared" si="41"/>
        <v>OK</v>
      </c>
    </row>
    <row r="162" spans="2:38" hidden="1" outlineLevel="2">
      <c r="B162" s="291" t="s">
        <v>547</v>
      </c>
      <c r="C162" s="292" t="s">
        <v>547</v>
      </c>
      <c r="D162" s="307" t="s">
        <v>548</v>
      </c>
      <c r="E162" s="294" t="s">
        <v>204</v>
      </c>
      <c r="F162" s="295" t="s">
        <v>204</v>
      </c>
      <c r="G162" s="295" t="s">
        <v>204</v>
      </c>
      <c r="H162" s="296" t="s">
        <v>204</v>
      </c>
      <c r="I162" s="297" t="str">
        <f t="shared" ref="I162:AL162" si="42">IF(I20&gt;=I64,"OK","BŁĄD")</f>
        <v>OK</v>
      </c>
      <c r="J162" s="298" t="str">
        <f t="shared" si="42"/>
        <v>OK</v>
      </c>
      <c r="K162" s="298" t="str">
        <f t="shared" si="42"/>
        <v>OK</v>
      </c>
      <c r="L162" s="298" t="str">
        <f t="shared" si="42"/>
        <v>OK</v>
      </c>
      <c r="M162" s="298" t="str">
        <f t="shared" si="42"/>
        <v>OK</v>
      </c>
      <c r="N162" s="298" t="str">
        <f t="shared" si="42"/>
        <v>OK</v>
      </c>
      <c r="O162" s="298" t="str">
        <f t="shared" si="42"/>
        <v>OK</v>
      </c>
      <c r="P162" s="298" t="str">
        <f t="shared" si="42"/>
        <v>OK</v>
      </c>
      <c r="Q162" s="298" t="str">
        <f t="shared" si="42"/>
        <v>OK</v>
      </c>
      <c r="R162" s="298" t="str">
        <f t="shared" si="42"/>
        <v>OK</v>
      </c>
      <c r="S162" s="298" t="str">
        <f t="shared" si="42"/>
        <v>OK</v>
      </c>
      <c r="T162" s="298" t="str">
        <f t="shared" si="42"/>
        <v>OK</v>
      </c>
      <c r="U162" s="298" t="str">
        <f t="shared" si="42"/>
        <v>OK</v>
      </c>
      <c r="V162" s="298" t="str">
        <f t="shared" si="42"/>
        <v>OK</v>
      </c>
      <c r="W162" s="298" t="str">
        <f t="shared" si="42"/>
        <v>OK</v>
      </c>
      <c r="X162" s="298" t="str">
        <f t="shared" si="42"/>
        <v>OK</v>
      </c>
      <c r="Y162" s="298" t="str">
        <f t="shared" si="42"/>
        <v>OK</v>
      </c>
      <c r="Z162" s="298" t="str">
        <f t="shared" si="42"/>
        <v>OK</v>
      </c>
      <c r="AA162" s="298" t="str">
        <f t="shared" si="42"/>
        <v>OK</v>
      </c>
      <c r="AB162" s="298" t="str">
        <f t="shared" si="42"/>
        <v>OK</v>
      </c>
      <c r="AC162" s="298" t="str">
        <f t="shared" si="42"/>
        <v>OK</v>
      </c>
      <c r="AD162" s="298" t="str">
        <f t="shared" si="42"/>
        <v>OK</v>
      </c>
      <c r="AE162" s="298" t="str">
        <f t="shared" si="42"/>
        <v>OK</v>
      </c>
      <c r="AF162" s="298" t="str">
        <f t="shared" si="42"/>
        <v>OK</v>
      </c>
      <c r="AG162" s="298" t="str">
        <f t="shared" si="42"/>
        <v>OK</v>
      </c>
      <c r="AH162" s="298" t="str">
        <f t="shared" si="42"/>
        <v>OK</v>
      </c>
      <c r="AI162" s="298" t="str">
        <f t="shared" si="42"/>
        <v>OK</v>
      </c>
      <c r="AJ162" s="298" t="str">
        <f t="shared" si="42"/>
        <v>OK</v>
      </c>
      <c r="AK162" s="298" t="str">
        <f t="shared" si="42"/>
        <v>OK</v>
      </c>
      <c r="AL162" s="299" t="str">
        <f t="shared" si="42"/>
        <v>OK</v>
      </c>
    </row>
    <row r="163" spans="2:38" hidden="1" outlineLevel="2">
      <c r="B163" s="291" t="s">
        <v>549</v>
      </c>
      <c r="C163" s="292" t="s">
        <v>549</v>
      </c>
      <c r="D163" s="307" t="s">
        <v>550</v>
      </c>
      <c r="E163" s="294" t="s">
        <v>204</v>
      </c>
      <c r="F163" s="295" t="s">
        <v>204</v>
      </c>
      <c r="G163" s="295" t="s">
        <v>204</v>
      </c>
      <c r="H163" s="296" t="s">
        <v>204</v>
      </c>
      <c r="I163" s="297" t="str">
        <f t="shared" ref="I163:AL163" si="43">IF(I20&gt;=I67,"OK","BŁĄD")</f>
        <v>OK</v>
      </c>
      <c r="J163" s="298" t="str">
        <f t="shared" si="43"/>
        <v>OK</v>
      </c>
      <c r="K163" s="298" t="str">
        <f t="shared" si="43"/>
        <v>OK</v>
      </c>
      <c r="L163" s="298" t="str">
        <f t="shared" si="43"/>
        <v>OK</v>
      </c>
      <c r="M163" s="298" t="str">
        <f t="shared" si="43"/>
        <v>OK</v>
      </c>
      <c r="N163" s="298" t="str">
        <f t="shared" si="43"/>
        <v>OK</v>
      </c>
      <c r="O163" s="298" t="str">
        <f t="shared" si="43"/>
        <v>OK</v>
      </c>
      <c r="P163" s="298" t="str">
        <f t="shared" si="43"/>
        <v>OK</v>
      </c>
      <c r="Q163" s="298" t="str">
        <f t="shared" si="43"/>
        <v>OK</v>
      </c>
      <c r="R163" s="298" t="str">
        <f t="shared" si="43"/>
        <v>OK</v>
      </c>
      <c r="S163" s="298" t="str">
        <f t="shared" si="43"/>
        <v>OK</v>
      </c>
      <c r="T163" s="298" t="str">
        <f t="shared" si="43"/>
        <v>OK</v>
      </c>
      <c r="U163" s="298" t="str">
        <f t="shared" si="43"/>
        <v>OK</v>
      </c>
      <c r="V163" s="298" t="str">
        <f t="shared" si="43"/>
        <v>OK</v>
      </c>
      <c r="W163" s="298" t="str">
        <f t="shared" si="43"/>
        <v>OK</v>
      </c>
      <c r="X163" s="298" t="str">
        <f t="shared" si="43"/>
        <v>OK</v>
      </c>
      <c r="Y163" s="298" t="str">
        <f t="shared" si="43"/>
        <v>OK</v>
      </c>
      <c r="Z163" s="298" t="str">
        <f t="shared" si="43"/>
        <v>OK</v>
      </c>
      <c r="AA163" s="298" t="str">
        <f t="shared" si="43"/>
        <v>OK</v>
      </c>
      <c r="AB163" s="298" t="str">
        <f t="shared" si="43"/>
        <v>OK</v>
      </c>
      <c r="AC163" s="298" t="str">
        <f t="shared" si="43"/>
        <v>OK</v>
      </c>
      <c r="AD163" s="298" t="str">
        <f t="shared" si="43"/>
        <v>OK</v>
      </c>
      <c r="AE163" s="298" t="str">
        <f t="shared" si="43"/>
        <v>OK</v>
      </c>
      <c r="AF163" s="298" t="str">
        <f t="shared" si="43"/>
        <v>OK</v>
      </c>
      <c r="AG163" s="298" t="str">
        <f t="shared" si="43"/>
        <v>OK</v>
      </c>
      <c r="AH163" s="298" t="str">
        <f t="shared" si="43"/>
        <v>OK</v>
      </c>
      <c r="AI163" s="298" t="str">
        <f t="shared" si="43"/>
        <v>OK</v>
      </c>
      <c r="AJ163" s="298" t="str">
        <f t="shared" si="43"/>
        <v>OK</v>
      </c>
      <c r="AK163" s="298" t="str">
        <f t="shared" si="43"/>
        <v>OK</v>
      </c>
      <c r="AL163" s="299" t="str">
        <f t="shared" si="43"/>
        <v>OK</v>
      </c>
    </row>
    <row r="164" spans="2:38" hidden="1" outlineLevel="2">
      <c r="B164" s="291" t="s">
        <v>551</v>
      </c>
      <c r="C164" s="292" t="s">
        <v>551</v>
      </c>
      <c r="D164" s="307" t="s">
        <v>552</v>
      </c>
      <c r="E164" s="294" t="s">
        <v>204</v>
      </c>
      <c r="F164" s="295" t="s">
        <v>204</v>
      </c>
      <c r="G164" s="295" t="s">
        <v>204</v>
      </c>
      <c r="H164" s="296" t="s">
        <v>204</v>
      </c>
      <c r="I164" s="297" t="str">
        <f t="shared" ref="I164:AL164" si="44">IF(I20&gt;=I79,"OK","BŁĄD")</f>
        <v>OK</v>
      </c>
      <c r="J164" s="298" t="str">
        <f t="shared" si="44"/>
        <v>OK</v>
      </c>
      <c r="K164" s="298" t="str">
        <f t="shared" si="44"/>
        <v>OK</v>
      </c>
      <c r="L164" s="298" t="str">
        <f t="shared" si="44"/>
        <v>OK</v>
      </c>
      <c r="M164" s="298" t="str">
        <f t="shared" si="44"/>
        <v>OK</v>
      </c>
      <c r="N164" s="298" t="str">
        <f t="shared" si="44"/>
        <v>OK</v>
      </c>
      <c r="O164" s="298" t="str">
        <f t="shared" si="44"/>
        <v>OK</v>
      </c>
      <c r="P164" s="298" t="str">
        <f t="shared" si="44"/>
        <v>OK</v>
      </c>
      <c r="Q164" s="298" t="str">
        <f t="shared" si="44"/>
        <v>OK</v>
      </c>
      <c r="R164" s="298" t="str">
        <f t="shared" si="44"/>
        <v>OK</v>
      </c>
      <c r="S164" s="298" t="str">
        <f t="shared" si="44"/>
        <v>OK</v>
      </c>
      <c r="T164" s="298" t="str">
        <f t="shared" si="44"/>
        <v>OK</v>
      </c>
      <c r="U164" s="298" t="str">
        <f t="shared" si="44"/>
        <v>OK</v>
      </c>
      <c r="V164" s="298" t="str">
        <f t="shared" si="44"/>
        <v>OK</v>
      </c>
      <c r="W164" s="298" t="str">
        <f t="shared" si="44"/>
        <v>OK</v>
      </c>
      <c r="X164" s="298" t="str">
        <f t="shared" si="44"/>
        <v>OK</v>
      </c>
      <c r="Y164" s="298" t="str">
        <f t="shared" si="44"/>
        <v>OK</v>
      </c>
      <c r="Z164" s="298" t="str">
        <f t="shared" si="44"/>
        <v>OK</v>
      </c>
      <c r="AA164" s="298" t="str">
        <f t="shared" si="44"/>
        <v>OK</v>
      </c>
      <c r="AB164" s="298" t="str">
        <f t="shared" si="44"/>
        <v>OK</v>
      </c>
      <c r="AC164" s="298" t="str">
        <f t="shared" si="44"/>
        <v>OK</v>
      </c>
      <c r="AD164" s="298" t="str">
        <f t="shared" si="44"/>
        <v>OK</v>
      </c>
      <c r="AE164" s="298" t="str">
        <f t="shared" si="44"/>
        <v>OK</v>
      </c>
      <c r="AF164" s="298" t="str">
        <f t="shared" si="44"/>
        <v>OK</v>
      </c>
      <c r="AG164" s="298" t="str">
        <f t="shared" si="44"/>
        <v>OK</v>
      </c>
      <c r="AH164" s="298" t="str">
        <f t="shared" si="44"/>
        <v>OK</v>
      </c>
      <c r="AI164" s="298" t="str">
        <f t="shared" si="44"/>
        <v>OK</v>
      </c>
      <c r="AJ164" s="298" t="str">
        <f t="shared" si="44"/>
        <v>OK</v>
      </c>
      <c r="AK164" s="298" t="str">
        <f t="shared" si="44"/>
        <v>OK</v>
      </c>
      <c r="AL164" s="299" t="str">
        <f t="shared" si="44"/>
        <v>OK</v>
      </c>
    </row>
    <row r="165" spans="2:38" hidden="1" outlineLevel="2">
      <c r="B165" s="291" t="s">
        <v>553</v>
      </c>
      <c r="C165" s="292" t="s">
        <v>553</v>
      </c>
      <c r="D165" s="307" t="s">
        <v>554</v>
      </c>
      <c r="E165" s="294" t="s">
        <v>204</v>
      </c>
      <c r="F165" s="295" t="s">
        <v>204</v>
      </c>
      <c r="G165" s="295" t="s">
        <v>204</v>
      </c>
      <c r="H165" s="296" t="s">
        <v>204</v>
      </c>
      <c r="I165" s="297" t="str">
        <f t="shared" ref="I165:AL165" si="45">IF(I20&gt;=I100,"OK","BŁĄD")</f>
        <v>OK</v>
      </c>
      <c r="J165" s="298" t="str">
        <f t="shared" si="45"/>
        <v>OK</v>
      </c>
      <c r="K165" s="298" t="str">
        <f t="shared" si="45"/>
        <v>OK</v>
      </c>
      <c r="L165" s="298" t="str">
        <f t="shared" si="45"/>
        <v>OK</v>
      </c>
      <c r="M165" s="298" t="str">
        <f t="shared" si="45"/>
        <v>OK</v>
      </c>
      <c r="N165" s="298" t="str">
        <f t="shared" si="45"/>
        <v>OK</v>
      </c>
      <c r="O165" s="298" t="str">
        <f t="shared" si="45"/>
        <v>OK</v>
      </c>
      <c r="P165" s="298" t="str">
        <f t="shared" si="45"/>
        <v>OK</v>
      </c>
      <c r="Q165" s="298" t="str">
        <f t="shared" si="45"/>
        <v>OK</v>
      </c>
      <c r="R165" s="298" t="str">
        <f t="shared" si="45"/>
        <v>OK</v>
      </c>
      <c r="S165" s="298" t="str">
        <f t="shared" si="45"/>
        <v>OK</v>
      </c>
      <c r="T165" s="298" t="str">
        <f t="shared" si="45"/>
        <v>OK</v>
      </c>
      <c r="U165" s="298" t="str">
        <f t="shared" si="45"/>
        <v>OK</v>
      </c>
      <c r="V165" s="298" t="str">
        <f t="shared" si="45"/>
        <v>OK</v>
      </c>
      <c r="W165" s="298" t="str">
        <f t="shared" si="45"/>
        <v>OK</v>
      </c>
      <c r="X165" s="298" t="str">
        <f t="shared" si="45"/>
        <v>OK</v>
      </c>
      <c r="Y165" s="298" t="str">
        <f t="shared" si="45"/>
        <v>OK</v>
      </c>
      <c r="Z165" s="298" t="str">
        <f t="shared" si="45"/>
        <v>OK</v>
      </c>
      <c r="AA165" s="298" t="str">
        <f t="shared" si="45"/>
        <v>OK</v>
      </c>
      <c r="AB165" s="298" t="str">
        <f t="shared" si="45"/>
        <v>OK</v>
      </c>
      <c r="AC165" s="298" t="str">
        <f t="shared" si="45"/>
        <v>OK</v>
      </c>
      <c r="AD165" s="298" t="str">
        <f t="shared" si="45"/>
        <v>OK</v>
      </c>
      <c r="AE165" s="298" t="str">
        <f t="shared" si="45"/>
        <v>OK</v>
      </c>
      <c r="AF165" s="298" t="str">
        <f t="shared" si="45"/>
        <v>OK</v>
      </c>
      <c r="AG165" s="298" t="str">
        <f t="shared" si="45"/>
        <v>OK</v>
      </c>
      <c r="AH165" s="298" t="str">
        <f t="shared" si="45"/>
        <v>OK</v>
      </c>
      <c r="AI165" s="298" t="str">
        <f t="shared" si="45"/>
        <v>OK</v>
      </c>
      <c r="AJ165" s="298" t="str">
        <f t="shared" si="45"/>
        <v>OK</v>
      </c>
      <c r="AK165" s="298" t="str">
        <f t="shared" si="45"/>
        <v>OK</v>
      </c>
      <c r="AL165" s="299" t="str">
        <f t="shared" si="45"/>
        <v>OK</v>
      </c>
    </row>
    <row r="166" spans="2:38" hidden="1" outlineLevel="2">
      <c r="B166" s="291" t="s">
        <v>555</v>
      </c>
      <c r="C166" s="292" t="s">
        <v>555</v>
      </c>
      <c r="D166" s="307" t="s">
        <v>556</v>
      </c>
      <c r="E166" s="294" t="s">
        <v>204</v>
      </c>
      <c r="F166" s="295" t="s">
        <v>204</v>
      </c>
      <c r="G166" s="295" t="s">
        <v>204</v>
      </c>
      <c r="H166" s="296" t="s">
        <v>204</v>
      </c>
      <c r="I166" s="297" t="str">
        <f t="shared" ref="I166:AL166" si="46">IF(I28&gt;=I68,"OK","BŁĄD")</f>
        <v>OK</v>
      </c>
      <c r="J166" s="298" t="str">
        <f t="shared" si="46"/>
        <v>OK</v>
      </c>
      <c r="K166" s="298" t="str">
        <f t="shared" si="46"/>
        <v>OK</v>
      </c>
      <c r="L166" s="298" t="str">
        <f t="shared" si="46"/>
        <v>OK</v>
      </c>
      <c r="M166" s="298" t="str">
        <f t="shared" si="46"/>
        <v>OK</v>
      </c>
      <c r="N166" s="298" t="str">
        <f t="shared" si="46"/>
        <v>OK</v>
      </c>
      <c r="O166" s="298" t="str">
        <f t="shared" si="46"/>
        <v>OK</v>
      </c>
      <c r="P166" s="298" t="str">
        <f t="shared" si="46"/>
        <v>OK</v>
      </c>
      <c r="Q166" s="298" t="str">
        <f t="shared" si="46"/>
        <v>OK</v>
      </c>
      <c r="R166" s="298" t="str">
        <f t="shared" si="46"/>
        <v>OK</v>
      </c>
      <c r="S166" s="298" t="str">
        <f t="shared" si="46"/>
        <v>OK</v>
      </c>
      <c r="T166" s="298" t="str">
        <f t="shared" si="46"/>
        <v>OK</v>
      </c>
      <c r="U166" s="298" t="str">
        <f t="shared" si="46"/>
        <v>OK</v>
      </c>
      <c r="V166" s="298" t="str">
        <f t="shared" si="46"/>
        <v>OK</v>
      </c>
      <c r="W166" s="298" t="str">
        <f t="shared" si="46"/>
        <v>OK</v>
      </c>
      <c r="X166" s="298" t="str">
        <f t="shared" si="46"/>
        <v>OK</v>
      </c>
      <c r="Y166" s="298" t="str">
        <f t="shared" si="46"/>
        <v>OK</v>
      </c>
      <c r="Z166" s="298" t="str">
        <f t="shared" si="46"/>
        <v>OK</v>
      </c>
      <c r="AA166" s="298" t="str">
        <f t="shared" si="46"/>
        <v>OK</v>
      </c>
      <c r="AB166" s="298" t="str">
        <f t="shared" si="46"/>
        <v>OK</v>
      </c>
      <c r="AC166" s="298" t="str">
        <f t="shared" si="46"/>
        <v>OK</v>
      </c>
      <c r="AD166" s="298" t="str">
        <f t="shared" si="46"/>
        <v>OK</v>
      </c>
      <c r="AE166" s="298" t="str">
        <f t="shared" si="46"/>
        <v>OK</v>
      </c>
      <c r="AF166" s="298" t="str">
        <f t="shared" si="46"/>
        <v>OK</v>
      </c>
      <c r="AG166" s="298" t="str">
        <f t="shared" si="46"/>
        <v>OK</v>
      </c>
      <c r="AH166" s="298" t="str">
        <f t="shared" si="46"/>
        <v>OK</v>
      </c>
      <c r="AI166" s="298" t="str">
        <f t="shared" si="46"/>
        <v>OK</v>
      </c>
      <c r="AJ166" s="298" t="str">
        <f t="shared" si="46"/>
        <v>OK</v>
      </c>
      <c r="AK166" s="298" t="str">
        <f t="shared" si="46"/>
        <v>OK</v>
      </c>
      <c r="AL166" s="299" t="str">
        <f t="shared" si="46"/>
        <v>OK</v>
      </c>
    </row>
    <row r="167" spans="2:38" hidden="1" outlineLevel="2">
      <c r="B167" s="291" t="s">
        <v>557</v>
      </c>
      <c r="C167" s="292" t="s">
        <v>557</v>
      </c>
      <c r="D167" s="307" t="s">
        <v>558</v>
      </c>
      <c r="E167" s="294" t="s">
        <v>204</v>
      </c>
      <c r="F167" s="295" t="s">
        <v>204</v>
      </c>
      <c r="G167" s="295" t="s">
        <v>204</v>
      </c>
      <c r="H167" s="296" t="s">
        <v>204</v>
      </c>
      <c r="I167" s="297" t="str">
        <f t="shared" ref="I167:AL167" si="47">IF(I28&gt;=I69+I70,"OK","BŁĄD")</f>
        <v>OK</v>
      </c>
      <c r="J167" s="298" t="str">
        <f t="shared" si="47"/>
        <v>OK</v>
      </c>
      <c r="K167" s="298" t="str">
        <f t="shared" si="47"/>
        <v>OK</v>
      </c>
      <c r="L167" s="298" t="str">
        <f t="shared" si="47"/>
        <v>OK</v>
      </c>
      <c r="M167" s="298" t="str">
        <f t="shared" si="47"/>
        <v>OK</v>
      </c>
      <c r="N167" s="298" t="str">
        <f t="shared" si="47"/>
        <v>OK</v>
      </c>
      <c r="O167" s="298" t="str">
        <f t="shared" si="47"/>
        <v>OK</v>
      </c>
      <c r="P167" s="298" t="str">
        <f t="shared" si="47"/>
        <v>OK</v>
      </c>
      <c r="Q167" s="298" t="str">
        <f t="shared" si="47"/>
        <v>OK</v>
      </c>
      <c r="R167" s="298" t="str">
        <f t="shared" si="47"/>
        <v>OK</v>
      </c>
      <c r="S167" s="298" t="str">
        <f t="shared" si="47"/>
        <v>OK</v>
      </c>
      <c r="T167" s="298" t="str">
        <f t="shared" si="47"/>
        <v>OK</v>
      </c>
      <c r="U167" s="298" t="str">
        <f t="shared" si="47"/>
        <v>OK</v>
      </c>
      <c r="V167" s="298" t="str">
        <f t="shared" si="47"/>
        <v>OK</v>
      </c>
      <c r="W167" s="298" t="str">
        <f t="shared" si="47"/>
        <v>OK</v>
      </c>
      <c r="X167" s="298" t="str">
        <f t="shared" si="47"/>
        <v>OK</v>
      </c>
      <c r="Y167" s="298" t="str">
        <f t="shared" si="47"/>
        <v>OK</v>
      </c>
      <c r="Z167" s="298" t="str">
        <f t="shared" si="47"/>
        <v>OK</v>
      </c>
      <c r="AA167" s="298" t="str">
        <f t="shared" si="47"/>
        <v>OK</v>
      </c>
      <c r="AB167" s="298" t="str">
        <f t="shared" si="47"/>
        <v>OK</v>
      </c>
      <c r="AC167" s="298" t="str">
        <f t="shared" si="47"/>
        <v>OK</v>
      </c>
      <c r="AD167" s="298" t="str">
        <f t="shared" si="47"/>
        <v>OK</v>
      </c>
      <c r="AE167" s="298" t="str">
        <f t="shared" si="47"/>
        <v>OK</v>
      </c>
      <c r="AF167" s="298" t="str">
        <f t="shared" si="47"/>
        <v>OK</v>
      </c>
      <c r="AG167" s="298" t="str">
        <f t="shared" si="47"/>
        <v>OK</v>
      </c>
      <c r="AH167" s="298" t="str">
        <f t="shared" si="47"/>
        <v>OK</v>
      </c>
      <c r="AI167" s="298" t="str">
        <f t="shared" si="47"/>
        <v>OK</v>
      </c>
      <c r="AJ167" s="298" t="str">
        <f t="shared" si="47"/>
        <v>OK</v>
      </c>
      <c r="AK167" s="298" t="str">
        <f t="shared" si="47"/>
        <v>OK</v>
      </c>
      <c r="AL167" s="299" t="str">
        <f t="shared" si="47"/>
        <v>OK</v>
      </c>
    </row>
    <row r="168" spans="2:38" hidden="1" outlineLevel="2">
      <c r="B168" s="291" t="s">
        <v>559</v>
      </c>
      <c r="C168" s="292" t="s">
        <v>559</v>
      </c>
      <c r="D168" s="307" t="s">
        <v>560</v>
      </c>
      <c r="E168" s="294" t="s">
        <v>204</v>
      </c>
      <c r="F168" s="295" t="s">
        <v>204</v>
      </c>
      <c r="G168" s="295" t="s">
        <v>204</v>
      </c>
      <c r="H168" s="296" t="s">
        <v>204</v>
      </c>
      <c r="I168" s="297" t="str">
        <f t="shared" ref="I168:AL168" si="48">IF(I28&gt;=I71,"OK","BŁĄD")</f>
        <v>OK</v>
      </c>
      <c r="J168" s="298" t="str">
        <f t="shared" si="48"/>
        <v>OK</v>
      </c>
      <c r="K168" s="298" t="str">
        <f t="shared" si="48"/>
        <v>OK</v>
      </c>
      <c r="L168" s="298" t="str">
        <f t="shared" si="48"/>
        <v>OK</v>
      </c>
      <c r="M168" s="298" t="str">
        <f t="shared" si="48"/>
        <v>OK</v>
      </c>
      <c r="N168" s="298" t="str">
        <f t="shared" si="48"/>
        <v>OK</v>
      </c>
      <c r="O168" s="298" t="str">
        <f t="shared" si="48"/>
        <v>OK</v>
      </c>
      <c r="P168" s="298" t="str">
        <f t="shared" si="48"/>
        <v>OK</v>
      </c>
      <c r="Q168" s="298" t="str">
        <f t="shared" si="48"/>
        <v>OK</v>
      </c>
      <c r="R168" s="298" t="str">
        <f t="shared" si="48"/>
        <v>OK</v>
      </c>
      <c r="S168" s="298" t="str">
        <f t="shared" si="48"/>
        <v>OK</v>
      </c>
      <c r="T168" s="298" t="str">
        <f t="shared" si="48"/>
        <v>OK</v>
      </c>
      <c r="U168" s="298" t="str">
        <f t="shared" si="48"/>
        <v>OK</v>
      </c>
      <c r="V168" s="298" t="str">
        <f t="shared" si="48"/>
        <v>OK</v>
      </c>
      <c r="W168" s="298" t="str">
        <f t="shared" si="48"/>
        <v>OK</v>
      </c>
      <c r="X168" s="298" t="str">
        <f t="shared" si="48"/>
        <v>OK</v>
      </c>
      <c r="Y168" s="298" t="str">
        <f t="shared" si="48"/>
        <v>OK</v>
      </c>
      <c r="Z168" s="298" t="str">
        <f t="shared" si="48"/>
        <v>OK</v>
      </c>
      <c r="AA168" s="298" t="str">
        <f t="shared" si="48"/>
        <v>OK</v>
      </c>
      <c r="AB168" s="298" t="str">
        <f t="shared" si="48"/>
        <v>OK</v>
      </c>
      <c r="AC168" s="298" t="str">
        <f t="shared" si="48"/>
        <v>OK</v>
      </c>
      <c r="AD168" s="298" t="str">
        <f t="shared" si="48"/>
        <v>OK</v>
      </c>
      <c r="AE168" s="298" t="str">
        <f t="shared" si="48"/>
        <v>OK</v>
      </c>
      <c r="AF168" s="298" t="str">
        <f t="shared" si="48"/>
        <v>OK</v>
      </c>
      <c r="AG168" s="298" t="str">
        <f t="shared" si="48"/>
        <v>OK</v>
      </c>
      <c r="AH168" s="298" t="str">
        <f t="shared" si="48"/>
        <v>OK</v>
      </c>
      <c r="AI168" s="298" t="str">
        <f t="shared" si="48"/>
        <v>OK</v>
      </c>
      <c r="AJ168" s="298" t="str">
        <f t="shared" si="48"/>
        <v>OK</v>
      </c>
      <c r="AK168" s="298" t="str">
        <f t="shared" si="48"/>
        <v>OK</v>
      </c>
      <c r="AL168" s="299" t="str">
        <f t="shared" si="48"/>
        <v>OK</v>
      </c>
    </row>
    <row r="169" spans="2:38" hidden="1" outlineLevel="2">
      <c r="B169" s="291" t="s">
        <v>561</v>
      </c>
      <c r="C169" s="292" t="s">
        <v>561</v>
      </c>
      <c r="D169" s="307" t="s">
        <v>562</v>
      </c>
      <c r="E169" s="294" t="s">
        <v>204</v>
      </c>
      <c r="F169" s="295" t="s">
        <v>204</v>
      </c>
      <c r="G169" s="295" t="s">
        <v>204</v>
      </c>
      <c r="H169" s="296" t="s">
        <v>204</v>
      </c>
      <c r="I169" s="297" t="str">
        <f t="shared" ref="I169:AL169" si="49">IF(I28&gt;=I82,"OK","BŁĄD")</f>
        <v>OK</v>
      </c>
      <c r="J169" s="298" t="str">
        <f t="shared" si="49"/>
        <v>OK</v>
      </c>
      <c r="K169" s="298" t="str">
        <f t="shared" si="49"/>
        <v>OK</v>
      </c>
      <c r="L169" s="298" t="str">
        <f t="shared" si="49"/>
        <v>OK</v>
      </c>
      <c r="M169" s="298" t="str">
        <f t="shared" si="49"/>
        <v>OK</v>
      </c>
      <c r="N169" s="298" t="str">
        <f t="shared" si="49"/>
        <v>OK</v>
      </c>
      <c r="O169" s="298" t="str">
        <f t="shared" si="49"/>
        <v>OK</v>
      </c>
      <c r="P169" s="298" t="str">
        <f t="shared" si="49"/>
        <v>OK</v>
      </c>
      <c r="Q169" s="298" t="str">
        <f t="shared" si="49"/>
        <v>OK</v>
      </c>
      <c r="R169" s="298" t="str">
        <f t="shared" si="49"/>
        <v>OK</v>
      </c>
      <c r="S169" s="298" t="str">
        <f t="shared" si="49"/>
        <v>OK</v>
      </c>
      <c r="T169" s="298" t="str">
        <f t="shared" si="49"/>
        <v>OK</v>
      </c>
      <c r="U169" s="298" t="str">
        <f t="shared" si="49"/>
        <v>OK</v>
      </c>
      <c r="V169" s="298" t="str">
        <f t="shared" si="49"/>
        <v>OK</v>
      </c>
      <c r="W169" s="298" t="str">
        <f t="shared" si="49"/>
        <v>OK</v>
      </c>
      <c r="X169" s="298" t="str">
        <f t="shared" si="49"/>
        <v>OK</v>
      </c>
      <c r="Y169" s="298" t="str">
        <f t="shared" si="49"/>
        <v>OK</v>
      </c>
      <c r="Z169" s="298" t="str">
        <f t="shared" si="49"/>
        <v>OK</v>
      </c>
      <c r="AA169" s="298" t="str">
        <f t="shared" si="49"/>
        <v>OK</v>
      </c>
      <c r="AB169" s="298" t="str">
        <f t="shared" si="49"/>
        <v>OK</v>
      </c>
      <c r="AC169" s="298" t="str">
        <f t="shared" si="49"/>
        <v>OK</v>
      </c>
      <c r="AD169" s="298" t="str">
        <f t="shared" si="49"/>
        <v>OK</v>
      </c>
      <c r="AE169" s="298" t="str">
        <f t="shared" si="49"/>
        <v>OK</v>
      </c>
      <c r="AF169" s="298" t="str">
        <f t="shared" si="49"/>
        <v>OK</v>
      </c>
      <c r="AG169" s="298" t="str">
        <f t="shared" si="49"/>
        <v>OK</v>
      </c>
      <c r="AH169" s="298" t="str">
        <f t="shared" si="49"/>
        <v>OK</v>
      </c>
      <c r="AI169" s="298" t="str">
        <f t="shared" si="49"/>
        <v>OK</v>
      </c>
      <c r="AJ169" s="298" t="str">
        <f t="shared" si="49"/>
        <v>OK</v>
      </c>
      <c r="AK169" s="298" t="str">
        <f t="shared" si="49"/>
        <v>OK</v>
      </c>
      <c r="AL169" s="299" t="str">
        <f t="shared" si="49"/>
        <v>OK</v>
      </c>
    </row>
    <row r="170" spans="2:38" hidden="1" outlineLevel="2">
      <c r="B170" s="291" t="s">
        <v>563</v>
      </c>
      <c r="C170" s="292" t="s">
        <v>563</v>
      </c>
      <c r="D170" s="307" t="s">
        <v>564</v>
      </c>
      <c r="E170" s="294" t="s">
        <v>204</v>
      </c>
      <c r="F170" s="295" t="s">
        <v>204</v>
      </c>
      <c r="G170" s="295" t="s">
        <v>204</v>
      </c>
      <c r="H170" s="296" t="s">
        <v>204</v>
      </c>
      <c r="I170" s="297" t="str">
        <f t="shared" ref="I170:AL170" si="50">IF(I31&gt;=I32,"OK","BŁĄD")</f>
        <v>OK</v>
      </c>
      <c r="J170" s="298" t="str">
        <f t="shared" si="50"/>
        <v>OK</v>
      </c>
      <c r="K170" s="298" t="str">
        <f t="shared" si="50"/>
        <v>OK</v>
      </c>
      <c r="L170" s="298" t="str">
        <f t="shared" si="50"/>
        <v>OK</v>
      </c>
      <c r="M170" s="298" t="str">
        <f t="shared" si="50"/>
        <v>OK</v>
      </c>
      <c r="N170" s="298" t="str">
        <f t="shared" si="50"/>
        <v>OK</v>
      </c>
      <c r="O170" s="298" t="str">
        <f t="shared" si="50"/>
        <v>OK</v>
      </c>
      <c r="P170" s="298" t="str">
        <f t="shared" si="50"/>
        <v>OK</v>
      </c>
      <c r="Q170" s="298" t="str">
        <f t="shared" si="50"/>
        <v>OK</v>
      </c>
      <c r="R170" s="298" t="str">
        <f t="shared" si="50"/>
        <v>OK</v>
      </c>
      <c r="S170" s="298" t="str">
        <f t="shared" si="50"/>
        <v>OK</v>
      </c>
      <c r="T170" s="298" t="str">
        <f t="shared" si="50"/>
        <v>OK</v>
      </c>
      <c r="U170" s="298" t="str">
        <f t="shared" si="50"/>
        <v>OK</v>
      </c>
      <c r="V170" s="298" t="str">
        <f t="shared" si="50"/>
        <v>OK</v>
      </c>
      <c r="W170" s="298" t="str">
        <f t="shared" si="50"/>
        <v>OK</v>
      </c>
      <c r="X170" s="298" t="str">
        <f t="shared" si="50"/>
        <v>OK</v>
      </c>
      <c r="Y170" s="298" t="str">
        <f t="shared" si="50"/>
        <v>OK</v>
      </c>
      <c r="Z170" s="298" t="str">
        <f t="shared" si="50"/>
        <v>OK</v>
      </c>
      <c r="AA170" s="298" t="str">
        <f t="shared" si="50"/>
        <v>OK</v>
      </c>
      <c r="AB170" s="298" t="str">
        <f t="shared" si="50"/>
        <v>OK</v>
      </c>
      <c r="AC170" s="298" t="str">
        <f t="shared" si="50"/>
        <v>OK</v>
      </c>
      <c r="AD170" s="298" t="str">
        <f t="shared" si="50"/>
        <v>OK</v>
      </c>
      <c r="AE170" s="298" t="str">
        <f t="shared" si="50"/>
        <v>OK</v>
      </c>
      <c r="AF170" s="298" t="str">
        <f t="shared" si="50"/>
        <v>OK</v>
      </c>
      <c r="AG170" s="298" t="str">
        <f t="shared" si="50"/>
        <v>OK</v>
      </c>
      <c r="AH170" s="298" t="str">
        <f t="shared" si="50"/>
        <v>OK</v>
      </c>
      <c r="AI170" s="298" t="str">
        <f t="shared" si="50"/>
        <v>OK</v>
      </c>
      <c r="AJ170" s="298" t="str">
        <f t="shared" si="50"/>
        <v>OK</v>
      </c>
      <c r="AK170" s="298" t="str">
        <f t="shared" si="50"/>
        <v>OK</v>
      </c>
      <c r="AL170" s="299" t="str">
        <f t="shared" si="50"/>
        <v>OK</v>
      </c>
    </row>
    <row r="171" spans="2:38" hidden="1" outlineLevel="2">
      <c r="B171" s="291" t="s">
        <v>565</v>
      </c>
      <c r="C171" s="292" t="s">
        <v>565</v>
      </c>
      <c r="D171" s="307" t="s">
        <v>566</v>
      </c>
      <c r="E171" s="294" t="s">
        <v>204</v>
      </c>
      <c r="F171" s="295" t="s">
        <v>204</v>
      </c>
      <c r="G171" s="295" t="s">
        <v>204</v>
      </c>
      <c r="H171" s="296" t="s">
        <v>204</v>
      </c>
      <c r="I171" s="297" t="str">
        <f t="shared" ref="I171:AL171" si="51">IF(I33&gt;=I34,"OK","BŁĄD")</f>
        <v>OK</v>
      </c>
      <c r="J171" s="298" t="str">
        <f t="shared" si="51"/>
        <v>OK</v>
      </c>
      <c r="K171" s="298" t="str">
        <f t="shared" si="51"/>
        <v>OK</v>
      </c>
      <c r="L171" s="298" t="str">
        <f t="shared" si="51"/>
        <v>OK</v>
      </c>
      <c r="M171" s="298" t="str">
        <f t="shared" si="51"/>
        <v>OK</v>
      </c>
      <c r="N171" s="298" t="str">
        <f t="shared" si="51"/>
        <v>OK</v>
      </c>
      <c r="O171" s="298" t="str">
        <f t="shared" si="51"/>
        <v>OK</v>
      </c>
      <c r="P171" s="298" t="str">
        <f t="shared" si="51"/>
        <v>OK</v>
      </c>
      <c r="Q171" s="298" t="str">
        <f t="shared" si="51"/>
        <v>OK</v>
      </c>
      <c r="R171" s="298" t="str">
        <f t="shared" si="51"/>
        <v>OK</v>
      </c>
      <c r="S171" s="298" t="str">
        <f t="shared" si="51"/>
        <v>OK</v>
      </c>
      <c r="T171" s="298" t="str">
        <f t="shared" si="51"/>
        <v>OK</v>
      </c>
      <c r="U171" s="298" t="str">
        <f t="shared" si="51"/>
        <v>OK</v>
      </c>
      <c r="V171" s="298" t="str">
        <f t="shared" si="51"/>
        <v>OK</v>
      </c>
      <c r="W171" s="298" t="str">
        <f t="shared" si="51"/>
        <v>OK</v>
      </c>
      <c r="X171" s="298" t="str">
        <f t="shared" si="51"/>
        <v>OK</v>
      </c>
      <c r="Y171" s="298" t="str">
        <f t="shared" si="51"/>
        <v>OK</v>
      </c>
      <c r="Z171" s="298" t="str">
        <f t="shared" si="51"/>
        <v>OK</v>
      </c>
      <c r="AA171" s="298" t="str">
        <f t="shared" si="51"/>
        <v>OK</v>
      </c>
      <c r="AB171" s="298" t="str">
        <f t="shared" si="51"/>
        <v>OK</v>
      </c>
      <c r="AC171" s="298" t="str">
        <f t="shared" si="51"/>
        <v>OK</v>
      </c>
      <c r="AD171" s="298" t="str">
        <f t="shared" si="51"/>
        <v>OK</v>
      </c>
      <c r="AE171" s="298" t="str">
        <f t="shared" si="51"/>
        <v>OK</v>
      </c>
      <c r="AF171" s="298" t="str">
        <f t="shared" si="51"/>
        <v>OK</v>
      </c>
      <c r="AG171" s="298" t="str">
        <f t="shared" si="51"/>
        <v>OK</v>
      </c>
      <c r="AH171" s="298" t="str">
        <f t="shared" si="51"/>
        <v>OK</v>
      </c>
      <c r="AI171" s="298" t="str">
        <f t="shared" si="51"/>
        <v>OK</v>
      </c>
      <c r="AJ171" s="298" t="str">
        <f t="shared" si="51"/>
        <v>OK</v>
      </c>
      <c r="AK171" s="298" t="str">
        <f t="shared" si="51"/>
        <v>OK</v>
      </c>
      <c r="AL171" s="299" t="str">
        <f t="shared" si="51"/>
        <v>OK</v>
      </c>
    </row>
    <row r="172" spans="2:38" hidden="1" outlineLevel="2">
      <c r="B172" s="291" t="s">
        <v>567</v>
      </c>
      <c r="C172" s="292" t="s">
        <v>567</v>
      </c>
      <c r="D172" s="307" t="s">
        <v>568</v>
      </c>
      <c r="E172" s="294" t="s">
        <v>204</v>
      </c>
      <c r="F172" s="295" t="s">
        <v>204</v>
      </c>
      <c r="G172" s="295" t="s">
        <v>204</v>
      </c>
      <c r="H172" s="296" t="s">
        <v>204</v>
      </c>
      <c r="I172" s="297" t="str">
        <f t="shared" ref="I172:AL172" si="52">IF(I35&gt;=I36,"OK","BŁĄD")</f>
        <v>OK</v>
      </c>
      <c r="J172" s="298" t="str">
        <f t="shared" si="52"/>
        <v>OK</v>
      </c>
      <c r="K172" s="298" t="str">
        <f t="shared" si="52"/>
        <v>OK</v>
      </c>
      <c r="L172" s="298" t="str">
        <f t="shared" si="52"/>
        <v>OK</v>
      </c>
      <c r="M172" s="298" t="str">
        <f t="shared" si="52"/>
        <v>OK</v>
      </c>
      <c r="N172" s="298" t="str">
        <f t="shared" si="52"/>
        <v>OK</v>
      </c>
      <c r="O172" s="298" t="str">
        <f t="shared" si="52"/>
        <v>OK</v>
      </c>
      <c r="P172" s="298" t="str">
        <f t="shared" si="52"/>
        <v>OK</v>
      </c>
      <c r="Q172" s="298" t="str">
        <f t="shared" si="52"/>
        <v>OK</v>
      </c>
      <c r="R172" s="298" t="str">
        <f t="shared" si="52"/>
        <v>OK</v>
      </c>
      <c r="S172" s="298" t="str">
        <f t="shared" si="52"/>
        <v>OK</v>
      </c>
      <c r="T172" s="298" t="str">
        <f t="shared" si="52"/>
        <v>OK</v>
      </c>
      <c r="U172" s="298" t="str">
        <f t="shared" si="52"/>
        <v>OK</v>
      </c>
      <c r="V172" s="298" t="str">
        <f t="shared" si="52"/>
        <v>OK</v>
      </c>
      <c r="W172" s="298" t="str">
        <f t="shared" si="52"/>
        <v>OK</v>
      </c>
      <c r="X172" s="298" t="str">
        <f t="shared" si="52"/>
        <v>OK</v>
      </c>
      <c r="Y172" s="298" t="str">
        <f t="shared" si="52"/>
        <v>OK</v>
      </c>
      <c r="Z172" s="298" t="str">
        <f t="shared" si="52"/>
        <v>OK</v>
      </c>
      <c r="AA172" s="298" t="str">
        <f t="shared" si="52"/>
        <v>OK</v>
      </c>
      <c r="AB172" s="298" t="str">
        <f t="shared" si="52"/>
        <v>OK</v>
      </c>
      <c r="AC172" s="298" t="str">
        <f t="shared" si="52"/>
        <v>OK</v>
      </c>
      <c r="AD172" s="298" t="str">
        <f t="shared" si="52"/>
        <v>OK</v>
      </c>
      <c r="AE172" s="298" t="str">
        <f t="shared" si="52"/>
        <v>OK</v>
      </c>
      <c r="AF172" s="298" t="str">
        <f t="shared" si="52"/>
        <v>OK</v>
      </c>
      <c r="AG172" s="298" t="str">
        <f t="shared" si="52"/>
        <v>OK</v>
      </c>
      <c r="AH172" s="298" t="str">
        <f t="shared" si="52"/>
        <v>OK</v>
      </c>
      <c r="AI172" s="298" t="str">
        <f t="shared" si="52"/>
        <v>OK</v>
      </c>
      <c r="AJ172" s="298" t="str">
        <f t="shared" si="52"/>
        <v>OK</v>
      </c>
      <c r="AK172" s="298" t="str">
        <f t="shared" si="52"/>
        <v>OK</v>
      </c>
      <c r="AL172" s="299" t="str">
        <f t="shared" si="52"/>
        <v>OK</v>
      </c>
    </row>
    <row r="173" spans="2:38" hidden="1" outlineLevel="2">
      <c r="B173" s="291" t="s">
        <v>569</v>
      </c>
      <c r="C173" s="292" t="s">
        <v>569</v>
      </c>
      <c r="D173" s="307" t="s">
        <v>570</v>
      </c>
      <c r="E173" s="294" t="s">
        <v>204</v>
      </c>
      <c r="F173" s="295" t="s">
        <v>204</v>
      </c>
      <c r="G173" s="295" t="s">
        <v>204</v>
      </c>
      <c r="H173" s="296" t="s">
        <v>204</v>
      </c>
      <c r="I173" s="297" t="str">
        <f t="shared" ref="I173:AL173" si="53">IF(I37&gt;=I38,"OK","BŁĄD")</f>
        <v>OK</v>
      </c>
      <c r="J173" s="298" t="str">
        <f t="shared" si="53"/>
        <v>OK</v>
      </c>
      <c r="K173" s="298" t="str">
        <f t="shared" si="53"/>
        <v>OK</v>
      </c>
      <c r="L173" s="298" t="str">
        <f t="shared" si="53"/>
        <v>OK</v>
      </c>
      <c r="M173" s="298" t="str">
        <f t="shared" si="53"/>
        <v>OK</v>
      </c>
      <c r="N173" s="298" t="str">
        <f t="shared" si="53"/>
        <v>OK</v>
      </c>
      <c r="O173" s="298" t="str">
        <f t="shared" si="53"/>
        <v>OK</v>
      </c>
      <c r="P173" s="298" t="str">
        <f t="shared" si="53"/>
        <v>OK</v>
      </c>
      <c r="Q173" s="298" t="str">
        <f t="shared" si="53"/>
        <v>OK</v>
      </c>
      <c r="R173" s="298" t="str">
        <f t="shared" si="53"/>
        <v>OK</v>
      </c>
      <c r="S173" s="298" t="str">
        <f t="shared" si="53"/>
        <v>OK</v>
      </c>
      <c r="T173" s="298" t="str">
        <f t="shared" si="53"/>
        <v>OK</v>
      </c>
      <c r="U173" s="298" t="str">
        <f t="shared" si="53"/>
        <v>OK</v>
      </c>
      <c r="V173" s="298" t="str">
        <f t="shared" si="53"/>
        <v>OK</v>
      </c>
      <c r="W173" s="298" t="str">
        <f t="shared" si="53"/>
        <v>OK</v>
      </c>
      <c r="X173" s="298" t="str">
        <f t="shared" si="53"/>
        <v>OK</v>
      </c>
      <c r="Y173" s="298" t="str">
        <f t="shared" si="53"/>
        <v>OK</v>
      </c>
      <c r="Z173" s="298" t="str">
        <f t="shared" si="53"/>
        <v>OK</v>
      </c>
      <c r="AA173" s="298" t="str">
        <f t="shared" si="53"/>
        <v>OK</v>
      </c>
      <c r="AB173" s="298" t="str">
        <f t="shared" si="53"/>
        <v>OK</v>
      </c>
      <c r="AC173" s="298" t="str">
        <f t="shared" si="53"/>
        <v>OK</v>
      </c>
      <c r="AD173" s="298" t="str">
        <f t="shared" si="53"/>
        <v>OK</v>
      </c>
      <c r="AE173" s="298" t="str">
        <f t="shared" si="53"/>
        <v>OK</v>
      </c>
      <c r="AF173" s="298" t="str">
        <f t="shared" si="53"/>
        <v>OK</v>
      </c>
      <c r="AG173" s="298" t="str">
        <f t="shared" si="53"/>
        <v>OK</v>
      </c>
      <c r="AH173" s="298" t="str">
        <f t="shared" si="53"/>
        <v>OK</v>
      </c>
      <c r="AI173" s="298" t="str">
        <f t="shared" si="53"/>
        <v>OK</v>
      </c>
      <c r="AJ173" s="298" t="str">
        <f t="shared" si="53"/>
        <v>OK</v>
      </c>
      <c r="AK173" s="298" t="str">
        <f t="shared" si="53"/>
        <v>OK</v>
      </c>
      <c r="AL173" s="299" t="str">
        <f t="shared" si="53"/>
        <v>OK</v>
      </c>
    </row>
    <row r="174" spans="2:38" hidden="1" outlineLevel="2">
      <c r="B174" s="291" t="s">
        <v>571</v>
      </c>
      <c r="C174" s="292" t="s">
        <v>571</v>
      </c>
      <c r="D174" s="307" t="s">
        <v>572</v>
      </c>
      <c r="E174" s="294" t="s">
        <v>204</v>
      </c>
      <c r="F174" s="295" t="s">
        <v>204</v>
      </c>
      <c r="G174" s="295" t="s">
        <v>204</v>
      </c>
      <c r="H174" s="296" t="s">
        <v>204</v>
      </c>
      <c r="I174" s="297" t="str">
        <f t="shared" ref="I174:AL174" si="54">IF(I40&gt;=I41,"OK","BŁĄD")</f>
        <v>OK</v>
      </c>
      <c r="J174" s="298" t="str">
        <f t="shared" si="54"/>
        <v>OK</v>
      </c>
      <c r="K174" s="298" t="str">
        <f t="shared" si="54"/>
        <v>OK</v>
      </c>
      <c r="L174" s="298" t="str">
        <f t="shared" si="54"/>
        <v>OK</v>
      </c>
      <c r="M174" s="298" t="str">
        <f t="shared" si="54"/>
        <v>OK</v>
      </c>
      <c r="N174" s="298" t="str">
        <f t="shared" si="54"/>
        <v>OK</v>
      </c>
      <c r="O174" s="298" t="str">
        <f t="shared" si="54"/>
        <v>OK</v>
      </c>
      <c r="P174" s="298" t="str">
        <f t="shared" si="54"/>
        <v>OK</v>
      </c>
      <c r="Q174" s="298" t="str">
        <f t="shared" si="54"/>
        <v>OK</v>
      </c>
      <c r="R174" s="298" t="str">
        <f t="shared" si="54"/>
        <v>OK</v>
      </c>
      <c r="S174" s="298" t="str">
        <f t="shared" si="54"/>
        <v>OK</v>
      </c>
      <c r="T174" s="298" t="str">
        <f t="shared" si="54"/>
        <v>OK</v>
      </c>
      <c r="U174" s="298" t="str">
        <f t="shared" si="54"/>
        <v>OK</v>
      </c>
      <c r="V174" s="298" t="str">
        <f t="shared" si="54"/>
        <v>OK</v>
      </c>
      <c r="W174" s="298" t="str">
        <f t="shared" si="54"/>
        <v>OK</v>
      </c>
      <c r="X174" s="298" t="str">
        <f t="shared" si="54"/>
        <v>OK</v>
      </c>
      <c r="Y174" s="298" t="str">
        <f t="shared" si="54"/>
        <v>OK</v>
      </c>
      <c r="Z174" s="298" t="str">
        <f t="shared" si="54"/>
        <v>OK</v>
      </c>
      <c r="AA174" s="298" t="str">
        <f t="shared" si="54"/>
        <v>OK</v>
      </c>
      <c r="AB174" s="298" t="str">
        <f t="shared" si="54"/>
        <v>OK</v>
      </c>
      <c r="AC174" s="298" t="str">
        <f t="shared" si="54"/>
        <v>OK</v>
      </c>
      <c r="AD174" s="298" t="str">
        <f t="shared" si="54"/>
        <v>OK</v>
      </c>
      <c r="AE174" s="298" t="str">
        <f t="shared" si="54"/>
        <v>OK</v>
      </c>
      <c r="AF174" s="298" t="str">
        <f t="shared" si="54"/>
        <v>OK</v>
      </c>
      <c r="AG174" s="298" t="str">
        <f t="shared" si="54"/>
        <v>OK</v>
      </c>
      <c r="AH174" s="298" t="str">
        <f t="shared" si="54"/>
        <v>OK</v>
      </c>
      <c r="AI174" s="298" t="str">
        <f t="shared" si="54"/>
        <v>OK</v>
      </c>
      <c r="AJ174" s="298" t="str">
        <f t="shared" si="54"/>
        <v>OK</v>
      </c>
      <c r="AK174" s="298" t="str">
        <f t="shared" si="54"/>
        <v>OK</v>
      </c>
      <c r="AL174" s="299" t="str">
        <f t="shared" si="54"/>
        <v>OK</v>
      </c>
    </row>
    <row r="175" spans="2:38" hidden="1" outlineLevel="2">
      <c r="B175" s="291" t="s">
        <v>573</v>
      </c>
      <c r="C175" s="292" t="s">
        <v>573</v>
      </c>
      <c r="D175" s="307" t="s">
        <v>574</v>
      </c>
      <c r="E175" s="294" t="s">
        <v>204</v>
      </c>
      <c r="F175" s="295" t="s">
        <v>204</v>
      </c>
      <c r="G175" s="295" t="s">
        <v>204</v>
      </c>
      <c r="H175" s="296" t="s">
        <v>204</v>
      </c>
      <c r="I175" s="297" t="str">
        <f t="shared" ref="I175:AL175" si="55">IF(I40&gt;=I62,"OK","BŁĄD")</f>
        <v>OK</v>
      </c>
      <c r="J175" s="298" t="str">
        <f t="shared" si="55"/>
        <v>OK</v>
      </c>
      <c r="K175" s="298" t="str">
        <f t="shared" si="55"/>
        <v>OK</v>
      </c>
      <c r="L175" s="298" t="str">
        <f t="shared" si="55"/>
        <v>OK</v>
      </c>
      <c r="M175" s="298" t="str">
        <f t="shared" si="55"/>
        <v>OK</v>
      </c>
      <c r="N175" s="298" t="str">
        <f t="shared" si="55"/>
        <v>OK</v>
      </c>
      <c r="O175" s="298" t="str">
        <f t="shared" si="55"/>
        <v>OK</v>
      </c>
      <c r="P175" s="298" t="str">
        <f t="shared" si="55"/>
        <v>OK</v>
      </c>
      <c r="Q175" s="298" t="str">
        <f t="shared" si="55"/>
        <v>OK</v>
      </c>
      <c r="R175" s="298" t="str">
        <f t="shared" si="55"/>
        <v>OK</v>
      </c>
      <c r="S175" s="298" t="str">
        <f t="shared" si="55"/>
        <v>OK</v>
      </c>
      <c r="T175" s="298" t="str">
        <f t="shared" si="55"/>
        <v>OK</v>
      </c>
      <c r="U175" s="298" t="str">
        <f t="shared" si="55"/>
        <v>OK</v>
      </c>
      <c r="V175" s="298" t="str">
        <f t="shared" si="55"/>
        <v>OK</v>
      </c>
      <c r="W175" s="298" t="str">
        <f t="shared" si="55"/>
        <v>OK</v>
      </c>
      <c r="X175" s="298" t="str">
        <f t="shared" si="55"/>
        <v>OK</v>
      </c>
      <c r="Y175" s="298" t="str">
        <f t="shared" si="55"/>
        <v>OK</v>
      </c>
      <c r="Z175" s="298" t="str">
        <f t="shared" si="55"/>
        <v>OK</v>
      </c>
      <c r="AA175" s="298" t="str">
        <f t="shared" si="55"/>
        <v>OK</v>
      </c>
      <c r="AB175" s="298" t="str">
        <f t="shared" si="55"/>
        <v>OK</v>
      </c>
      <c r="AC175" s="298" t="str">
        <f t="shared" si="55"/>
        <v>OK</v>
      </c>
      <c r="AD175" s="298" t="str">
        <f t="shared" si="55"/>
        <v>OK</v>
      </c>
      <c r="AE175" s="298" t="str">
        <f t="shared" si="55"/>
        <v>OK</v>
      </c>
      <c r="AF175" s="298" t="str">
        <f t="shared" si="55"/>
        <v>OK</v>
      </c>
      <c r="AG175" s="298" t="str">
        <f t="shared" si="55"/>
        <v>OK</v>
      </c>
      <c r="AH175" s="298" t="str">
        <f t="shared" si="55"/>
        <v>OK</v>
      </c>
      <c r="AI175" s="298" t="str">
        <f t="shared" si="55"/>
        <v>OK</v>
      </c>
      <c r="AJ175" s="298" t="str">
        <f t="shared" si="55"/>
        <v>OK</v>
      </c>
      <c r="AK175" s="298" t="str">
        <f t="shared" si="55"/>
        <v>OK</v>
      </c>
      <c r="AL175" s="299" t="str">
        <f t="shared" si="55"/>
        <v>OK</v>
      </c>
    </row>
    <row r="176" spans="2:38" hidden="1" outlineLevel="2">
      <c r="B176" s="291" t="s">
        <v>575</v>
      </c>
      <c r="C176" s="292" t="s">
        <v>575</v>
      </c>
      <c r="D176" s="307" t="s">
        <v>576</v>
      </c>
      <c r="E176" s="294" t="s">
        <v>204</v>
      </c>
      <c r="F176" s="295" t="s">
        <v>204</v>
      </c>
      <c r="G176" s="295" t="s">
        <v>204</v>
      </c>
      <c r="H176" s="296" t="s">
        <v>204</v>
      </c>
      <c r="I176" s="297" t="str">
        <f t="shared" ref="I176:AL176" si="56">IF(I40&gt;=I102,"OK","BŁĄD")</f>
        <v>OK</v>
      </c>
      <c r="J176" s="298" t="str">
        <f t="shared" si="56"/>
        <v>OK</v>
      </c>
      <c r="K176" s="298" t="str">
        <f t="shared" si="56"/>
        <v>OK</v>
      </c>
      <c r="L176" s="298" t="str">
        <f t="shared" si="56"/>
        <v>OK</v>
      </c>
      <c r="M176" s="298" t="str">
        <f t="shared" si="56"/>
        <v>OK</v>
      </c>
      <c r="N176" s="298" t="str">
        <f t="shared" si="56"/>
        <v>OK</v>
      </c>
      <c r="O176" s="298" t="str">
        <f t="shared" si="56"/>
        <v>OK</v>
      </c>
      <c r="P176" s="298" t="str">
        <f t="shared" si="56"/>
        <v>OK</v>
      </c>
      <c r="Q176" s="298" t="str">
        <f t="shared" si="56"/>
        <v>OK</v>
      </c>
      <c r="R176" s="298" t="str">
        <f t="shared" si="56"/>
        <v>OK</v>
      </c>
      <c r="S176" s="298" t="str">
        <f t="shared" si="56"/>
        <v>OK</v>
      </c>
      <c r="T176" s="298" t="str">
        <f t="shared" si="56"/>
        <v>OK</v>
      </c>
      <c r="U176" s="298" t="str">
        <f t="shared" si="56"/>
        <v>OK</v>
      </c>
      <c r="V176" s="298" t="str">
        <f t="shared" si="56"/>
        <v>OK</v>
      </c>
      <c r="W176" s="298" t="str">
        <f t="shared" si="56"/>
        <v>OK</v>
      </c>
      <c r="X176" s="298" t="str">
        <f t="shared" si="56"/>
        <v>OK</v>
      </c>
      <c r="Y176" s="298" t="str">
        <f t="shared" si="56"/>
        <v>OK</v>
      </c>
      <c r="Z176" s="298" t="str">
        <f t="shared" si="56"/>
        <v>OK</v>
      </c>
      <c r="AA176" s="298" t="str">
        <f t="shared" si="56"/>
        <v>OK</v>
      </c>
      <c r="AB176" s="298" t="str">
        <f t="shared" si="56"/>
        <v>OK</v>
      </c>
      <c r="AC176" s="298" t="str">
        <f t="shared" si="56"/>
        <v>OK</v>
      </c>
      <c r="AD176" s="298" t="str">
        <f t="shared" si="56"/>
        <v>OK</v>
      </c>
      <c r="AE176" s="298" t="str">
        <f t="shared" si="56"/>
        <v>OK</v>
      </c>
      <c r="AF176" s="298" t="str">
        <f t="shared" si="56"/>
        <v>OK</v>
      </c>
      <c r="AG176" s="298" t="str">
        <f t="shared" si="56"/>
        <v>OK</v>
      </c>
      <c r="AH176" s="298" t="str">
        <f t="shared" si="56"/>
        <v>OK</v>
      </c>
      <c r="AI176" s="298" t="str">
        <f t="shared" si="56"/>
        <v>OK</v>
      </c>
      <c r="AJ176" s="298" t="str">
        <f t="shared" si="56"/>
        <v>OK</v>
      </c>
      <c r="AK176" s="298" t="str">
        <f t="shared" si="56"/>
        <v>OK</v>
      </c>
      <c r="AL176" s="299" t="str">
        <f t="shared" si="56"/>
        <v>OK</v>
      </c>
    </row>
    <row r="177" spans="2:39" hidden="1" outlineLevel="2">
      <c r="B177" s="291" t="s">
        <v>577</v>
      </c>
      <c r="C177" s="292" t="s">
        <v>577</v>
      </c>
      <c r="D177" s="307" t="s">
        <v>578</v>
      </c>
      <c r="E177" s="294" t="s">
        <v>204</v>
      </c>
      <c r="F177" s="295" t="s">
        <v>204</v>
      </c>
      <c r="G177" s="295" t="s">
        <v>204</v>
      </c>
      <c r="H177" s="296" t="s">
        <v>204</v>
      </c>
      <c r="I177" s="297" t="str">
        <f t="shared" ref="I177:AL177" si="57">IF(I46&gt;=I47,"OK","BŁĄD")</f>
        <v>OK</v>
      </c>
      <c r="J177" s="298" t="str">
        <f t="shared" si="57"/>
        <v>OK</v>
      </c>
      <c r="K177" s="298" t="str">
        <f t="shared" si="57"/>
        <v>OK</v>
      </c>
      <c r="L177" s="298" t="str">
        <f t="shared" si="57"/>
        <v>OK</v>
      </c>
      <c r="M177" s="298" t="str">
        <f t="shared" si="57"/>
        <v>OK</v>
      </c>
      <c r="N177" s="298" t="str">
        <f t="shared" si="57"/>
        <v>OK</v>
      </c>
      <c r="O177" s="298" t="str">
        <f t="shared" si="57"/>
        <v>OK</v>
      </c>
      <c r="P177" s="298" t="str">
        <f t="shared" si="57"/>
        <v>OK</v>
      </c>
      <c r="Q177" s="298" t="str">
        <f t="shared" si="57"/>
        <v>OK</v>
      </c>
      <c r="R177" s="298" t="str">
        <f t="shared" si="57"/>
        <v>OK</v>
      </c>
      <c r="S177" s="298" t="str">
        <f t="shared" si="57"/>
        <v>OK</v>
      </c>
      <c r="T177" s="298" t="str">
        <f t="shared" si="57"/>
        <v>OK</v>
      </c>
      <c r="U177" s="298" t="str">
        <f t="shared" si="57"/>
        <v>OK</v>
      </c>
      <c r="V177" s="298" t="str">
        <f t="shared" si="57"/>
        <v>OK</v>
      </c>
      <c r="W177" s="298" t="str">
        <f t="shared" si="57"/>
        <v>OK</v>
      </c>
      <c r="X177" s="298" t="str">
        <f t="shared" si="57"/>
        <v>OK</v>
      </c>
      <c r="Y177" s="298" t="str">
        <f t="shared" si="57"/>
        <v>OK</v>
      </c>
      <c r="Z177" s="298" t="str">
        <f t="shared" si="57"/>
        <v>OK</v>
      </c>
      <c r="AA177" s="298" t="str">
        <f t="shared" si="57"/>
        <v>OK</v>
      </c>
      <c r="AB177" s="298" t="str">
        <f t="shared" si="57"/>
        <v>OK</v>
      </c>
      <c r="AC177" s="298" t="str">
        <f t="shared" si="57"/>
        <v>OK</v>
      </c>
      <c r="AD177" s="298" t="str">
        <f t="shared" si="57"/>
        <v>OK</v>
      </c>
      <c r="AE177" s="298" t="str">
        <f t="shared" si="57"/>
        <v>OK</v>
      </c>
      <c r="AF177" s="298" t="str">
        <f t="shared" si="57"/>
        <v>OK</v>
      </c>
      <c r="AG177" s="298" t="str">
        <f t="shared" si="57"/>
        <v>OK</v>
      </c>
      <c r="AH177" s="298" t="str">
        <f t="shared" si="57"/>
        <v>OK</v>
      </c>
      <c r="AI177" s="298" t="str">
        <f t="shared" si="57"/>
        <v>OK</v>
      </c>
      <c r="AJ177" s="298" t="str">
        <f t="shared" si="57"/>
        <v>OK</v>
      </c>
      <c r="AK177" s="298" t="str">
        <f t="shared" si="57"/>
        <v>OK</v>
      </c>
      <c r="AL177" s="299" t="str">
        <f t="shared" si="57"/>
        <v>OK</v>
      </c>
    </row>
    <row r="178" spans="2:39" hidden="1" outlineLevel="2">
      <c r="B178" s="291" t="s">
        <v>579</v>
      </c>
      <c r="C178" s="292" t="s">
        <v>579</v>
      </c>
      <c r="D178" s="307" t="s">
        <v>580</v>
      </c>
      <c r="E178" s="294" t="s">
        <v>204</v>
      </c>
      <c r="F178" s="295" t="s">
        <v>204</v>
      </c>
      <c r="G178" s="295" t="s">
        <v>204</v>
      </c>
      <c r="H178" s="296" t="s">
        <v>204</v>
      </c>
      <c r="I178" s="297" t="str">
        <f t="shared" ref="I178:AL178" si="58">IF(I46&gt;=I103,"OK","BŁĄD")</f>
        <v>OK</v>
      </c>
      <c r="J178" s="298" t="str">
        <f t="shared" si="58"/>
        <v>OK</v>
      </c>
      <c r="K178" s="298" t="str">
        <f t="shared" si="58"/>
        <v>OK</v>
      </c>
      <c r="L178" s="298" t="str">
        <f t="shared" si="58"/>
        <v>OK</v>
      </c>
      <c r="M178" s="298" t="str">
        <f t="shared" si="58"/>
        <v>OK</v>
      </c>
      <c r="N178" s="298" t="str">
        <f t="shared" si="58"/>
        <v>OK</v>
      </c>
      <c r="O178" s="298" t="str">
        <f t="shared" si="58"/>
        <v>OK</v>
      </c>
      <c r="P178" s="298" t="str">
        <f t="shared" si="58"/>
        <v>OK</v>
      </c>
      <c r="Q178" s="298" t="str">
        <f t="shared" si="58"/>
        <v>OK</v>
      </c>
      <c r="R178" s="298" t="str">
        <f t="shared" si="58"/>
        <v>OK</v>
      </c>
      <c r="S178" s="298" t="str">
        <f t="shared" si="58"/>
        <v>OK</v>
      </c>
      <c r="T178" s="298" t="str">
        <f t="shared" si="58"/>
        <v>OK</v>
      </c>
      <c r="U178" s="298" t="str">
        <f t="shared" si="58"/>
        <v>OK</v>
      </c>
      <c r="V178" s="298" t="str">
        <f t="shared" si="58"/>
        <v>OK</v>
      </c>
      <c r="W178" s="298" t="str">
        <f t="shared" si="58"/>
        <v>OK</v>
      </c>
      <c r="X178" s="298" t="str">
        <f t="shared" si="58"/>
        <v>OK</v>
      </c>
      <c r="Y178" s="298" t="str">
        <f t="shared" si="58"/>
        <v>OK</v>
      </c>
      <c r="Z178" s="298" t="str">
        <f t="shared" si="58"/>
        <v>OK</v>
      </c>
      <c r="AA178" s="298" t="str">
        <f t="shared" si="58"/>
        <v>OK</v>
      </c>
      <c r="AB178" s="298" t="str">
        <f t="shared" si="58"/>
        <v>OK</v>
      </c>
      <c r="AC178" s="298" t="str">
        <f t="shared" si="58"/>
        <v>OK</v>
      </c>
      <c r="AD178" s="298" t="str">
        <f t="shared" si="58"/>
        <v>OK</v>
      </c>
      <c r="AE178" s="298" t="str">
        <f t="shared" si="58"/>
        <v>OK</v>
      </c>
      <c r="AF178" s="298" t="str">
        <f t="shared" si="58"/>
        <v>OK</v>
      </c>
      <c r="AG178" s="298" t="str">
        <f t="shared" si="58"/>
        <v>OK</v>
      </c>
      <c r="AH178" s="298" t="str">
        <f t="shared" si="58"/>
        <v>OK</v>
      </c>
      <c r="AI178" s="298" t="str">
        <f t="shared" si="58"/>
        <v>OK</v>
      </c>
      <c r="AJ178" s="298" t="str">
        <f t="shared" si="58"/>
        <v>OK</v>
      </c>
      <c r="AK178" s="298" t="str">
        <f t="shared" si="58"/>
        <v>OK</v>
      </c>
      <c r="AL178" s="299" t="str">
        <f t="shared" si="58"/>
        <v>OK</v>
      </c>
    </row>
    <row r="179" spans="2:39" hidden="1" outlineLevel="2">
      <c r="B179" s="291" t="s">
        <v>581</v>
      </c>
      <c r="C179" s="292" t="s">
        <v>581</v>
      </c>
      <c r="D179" s="307" t="s">
        <v>582</v>
      </c>
      <c r="E179" s="294" t="s">
        <v>204</v>
      </c>
      <c r="F179" s="295" t="s">
        <v>204</v>
      </c>
      <c r="G179" s="295" t="s">
        <v>204</v>
      </c>
      <c r="H179" s="296" t="s">
        <v>204</v>
      </c>
      <c r="I179" s="297" t="str">
        <f t="shared" ref="I179:AL179" si="59">IF(I47&gt;=I94,"OK","BŁĄD")</f>
        <v>OK</v>
      </c>
      <c r="J179" s="298" t="str">
        <f t="shared" si="59"/>
        <v>OK</v>
      </c>
      <c r="K179" s="298" t="str">
        <f t="shared" si="59"/>
        <v>OK</v>
      </c>
      <c r="L179" s="298" t="str">
        <f t="shared" si="59"/>
        <v>OK</v>
      </c>
      <c r="M179" s="298" t="str">
        <f t="shared" si="59"/>
        <v>OK</v>
      </c>
      <c r="N179" s="298" t="str">
        <f t="shared" si="59"/>
        <v>OK</v>
      </c>
      <c r="O179" s="298" t="str">
        <f t="shared" si="59"/>
        <v>OK</v>
      </c>
      <c r="P179" s="298" t="str">
        <f t="shared" si="59"/>
        <v>OK</v>
      </c>
      <c r="Q179" s="298" t="str">
        <f t="shared" si="59"/>
        <v>OK</v>
      </c>
      <c r="R179" s="298" t="str">
        <f t="shared" si="59"/>
        <v>OK</v>
      </c>
      <c r="S179" s="298" t="str">
        <f t="shared" si="59"/>
        <v>OK</v>
      </c>
      <c r="T179" s="298" t="str">
        <f t="shared" si="59"/>
        <v>OK</v>
      </c>
      <c r="U179" s="298" t="str">
        <f t="shared" si="59"/>
        <v>OK</v>
      </c>
      <c r="V179" s="298" t="str">
        <f t="shared" si="59"/>
        <v>OK</v>
      </c>
      <c r="W179" s="298" t="str">
        <f t="shared" si="59"/>
        <v>OK</v>
      </c>
      <c r="X179" s="298" t="str">
        <f t="shared" si="59"/>
        <v>OK</v>
      </c>
      <c r="Y179" s="298" t="str">
        <f t="shared" si="59"/>
        <v>OK</v>
      </c>
      <c r="Z179" s="298" t="str">
        <f t="shared" si="59"/>
        <v>OK</v>
      </c>
      <c r="AA179" s="298" t="str">
        <f t="shared" si="59"/>
        <v>OK</v>
      </c>
      <c r="AB179" s="298" t="str">
        <f t="shared" si="59"/>
        <v>OK</v>
      </c>
      <c r="AC179" s="298" t="str">
        <f t="shared" si="59"/>
        <v>OK</v>
      </c>
      <c r="AD179" s="298" t="str">
        <f t="shared" si="59"/>
        <v>OK</v>
      </c>
      <c r="AE179" s="298" t="str">
        <f t="shared" si="59"/>
        <v>OK</v>
      </c>
      <c r="AF179" s="298" t="str">
        <f t="shared" si="59"/>
        <v>OK</v>
      </c>
      <c r="AG179" s="298" t="str">
        <f t="shared" si="59"/>
        <v>OK</v>
      </c>
      <c r="AH179" s="298" t="str">
        <f t="shared" si="59"/>
        <v>OK</v>
      </c>
      <c r="AI179" s="298" t="str">
        <f t="shared" si="59"/>
        <v>OK</v>
      </c>
      <c r="AJ179" s="298" t="str">
        <f t="shared" si="59"/>
        <v>OK</v>
      </c>
      <c r="AK179" s="298" t="str">
        <f t="shared" si="59"/>
        <v>OK</v>
      </c>
      <c r="AL179" s="299" t="str">
        <f t="shared" si="59"/>
        <v>OK</v>
      </c>
    </row>
    <row r="180" spans="2:39" hidden="1" outlineLevel="2">
      <c r="B180" s="311" t="s">
        <v>583</v>
      </c>
      <c r="C180" s="312" t="s">
        <v>583</v>
      </c>
      <c r="D180" s="313" t="s">
        <v>584</v>
      </c>
      <c r="E180" s="314" t="s">
        <v>204</v>
      </c>
      <c r="F180" s="315" t="s">
        <v>204</v>
      </c>
      <c r="G180" s="315" t="s">
        <v>204</v>
      </c>
      <c r="H180" s="316" t="s">
        <v>204</v>
      </c>
      <c r="I180" s="317" t="str">
        <f t="shared" ref="I180:AL180" si="60">IF(I24&lt;&gt;0,IF(I25&lt;&gt;0,"OK","BŁĄD"),"N/D")</f>
        <v>OK</v>
      </c>
      <c r="J180" s="318" t="str">
        <f t="shared" si="60"/>
        <v>OK</v>
      </c>
      <c r="K180" s="318" t="str">
        <f t="shared" si="60"/>
        <v>OK</v>
      </c>
      <c r="L180" s="318" t="str">
        <f t="shared" si="60"/>
        <v>OK</v>
      </c>
      <c r="M180" s="318" t="str">
        <f t="shared" si="60"/>
        <v>OK</v>
      </c>
      <c r="N180" s="318" t="str">
        <f t="shared" si="60"/>
        <v>OK</v>
      </c>
      <c r="O180" s="318" t="str">
        <f t="shared" si="60"/>
        <v>OK</v>
      </c>
      <c r="P180" s="318" t="str">
        <f t="shared" si="60"/>
        <v>OK</v>
      </c>
      <c r="Q180" s="318" t="str">
        <f t="shared" si="60"/>
        <v>OK</v>
      </c>
      <c r="R180" s="318" t="str">
        <f t="shared" si="60"/>
        <v>OK</v>
      </c>
      <c r="S180" s="318" t="str">
        <f t="shared" si="60"/>
        <v>N/D</v>
      </c>
      <c r="T180" s="318" t="str">
        <f t="shared" si="60"/>
        <v>N/D</v>
      </c>
      <c r="U180" s="318" t="str">
        <f t="shared" si="60"/>
        <v>N/D</v>
      </c>
      <c r="V180" s="318" t="str">
        <f t="shared" si="60"/>
        <v>N/D</v>
      </c>
      <c r="W180" s="318" t="str">
        <f t="shared" si="60"/>
        <v>N/D</v>
      </c>
      <c r="X180" s="318" t="str">
        <f t="shared" si="60"/>
        <v>N/D</v>
      </c>
      <c r="Y180" s="318" t="str">
        <f t="shared" si="60"/>
        <v>N/D</v>
      </c>
      <c r="Z180" s="318" t="str">
        <f t="shared" si="60"/>
        <v>N/D</v>
      </c>
      <c r="AA180" s="318" t="str">
        <f t="shared" si="60"/>
        <v>N/D</v>
      </c>
      <c r="AB180" s="318" t="str">
        <f t="shared" si="60"/>
        <v>N/D</v>
      </c>
      <c r="AC180" s="318" t="str">
        <f t="shared" si="60"/>
        <v>N/D</v>
      </c>
      <c r="AD180" s="318" t="str">
        <f t="shared" si="60"/>
        <v>N/D</v>
      </c>
      <c r="AE180" s="318" t="str">
        <f t="shared" si="60"/>
        <v>N/D</v>
      </c>
      <c r="AF180" s="318" t="str">
        <f t="shared" si="60"/>
        <v>N/D</v>
      </c>
      <c r="AG180" s="318" t="str">
        <f t="shared" si="60"/>
        <v>N/D</v>
      </c>
      <c r="AH180" s="318" t="str">
        <f t="shared" si="60"/>
        <v>N/D</v>
      </c>
      <c r="AI180" s="318" t="str">
        <f t="shared" si="60"/>
        <v>N/D</v>
      </c>
      <c r="AJ180" s="318" t="str">
        <f t="shared" si="60"/>
        <v>N/D</v>
      </c>
      <c r="AK180" s="318" t="str">
        <f t="shared" si="60"/>
        <v>N/D</v>
      </c>
      <c r="AL180" s="319" t="str">
        <f t="shared" si="60"/>
        <v>N/D</v>
      </c>
    </row>
    <row r="181" spans="2:39" hidden="1" outlineLevel="2">
      <c r="B181" s="320"/>
      <c r="C181" s="320"/>
      <c r="D181" s="320"/>
      <c r="E181" s="321"/>
      <c r="F181" s="321"/>
      <c r="G181" s="321"/>
      <c r="H181" s="321"/>
      <c r="I181" s="322"/>
      <c r="J181" s="322"/>
      <c r="K181" s="322"/>
      <c r="L181" s="322"/>
      <c r="M181" s="322"/>
      <c r="N181" s="322"/>
      <c r="O181" s="322"/>
      <c r="P181" s="322"/>
      <c r="Q181" s="322"/>
      <c r="R181" s="322"/>
      <c r="S181" s="322"/>
      <c r="T181" s="322"/>
      <c r="U181" s="322"/>
      <c r="V181" s="322"/>
      <c r="W181" s="322"/>
      <c r="X181" s="322"/>
      <c r="Y181" s="322"/>
      <c r="Z181" s="322"/>
      <c r="AA181" s="322"/>
      <c r="AB181" s="322"/>
      <c r="AC181" s="322"/>
      <c r="AD181" s="322"/>
      <c r="AE181" s="322"/>
      <c r="AF181" s="322"/>
      <c r="AG181" s="322"/>
      <c r="AH181" s="322"/>
      <c r="AI181" s="322"/>
      <c r="AJ181" s="322"/>
      <c r="AK181" s="322"/>
      <c r="AL181" s="322"/>
    </row>
    <row r="182" spans="2:39" hidden="1" outlineLevel="1">
      <c r="B182" s="320"/>
      <c r="C182" s="320"/>
      <c r="D182" s="281" t="s">
        <v>585</v>
      </c>
      <c r="E182" s="321"/>
      <c r="F182" s="321"/>
      <c r="G182" s="321"/>
      <c r="H182" s="321"/>
      <c r="I182" s="322"/>
      <c r="J182" s="322"/>
      <c r="K182" s="322"/>
      <c r="L182" s="322"/>
      <c r="M182" s="322"/>
      <c r="N182" s="322"/>
      <c r="O182" s="322"/>
      <c r="P182" s="322"/>
      <c r="Q182" s="322"/>
      <c r="R182" s="322"/>
      <c r="S182" s="322"/>
      <c r="T182" s="322"/>
      <c r="U182" s="322"/>
      <c r="V182" s="322"/>
      <c r="W182" s="322"/>
      <c r="X182" s="322"/>
      <c r="Y182" s="322"/>
      <c r="Z182" s="322"/>
      <c r="AA182" s="322"/>
      <c r="AB182" s="322"/>
      <c r="AC182" s="322"/>
      <c r="AD182" s="322"/>
      <c r="AE182" s="322"/>
      <c r="AF182" s="322"/>
      <c r="AG182" s="322"/>
      <c r="AH182" s="322"/>
      <c r="AI182" s="322"/>
      <c r="AJ182" s="322"/>
      <c r="AK182" s="322"/>
      <c r="AL182" s="322"/>
    </row>
    <row r="183" spans="2:39" ht="15" hidden="1" outlineLevel="2">
      <c r="B183" s="323"/>
      <c r="C183" s="324"/>
      <c r="D183" s="325" t="s">
        <v>586</v>
      </c>
      <c r="E183" s="326">
        <f t="shared" ref="E183:AL183" si="61">E9+E16</f>
        <v>18734729.550000001</v>
      </c>
      <c r="F183" s="327">
        <f t="shared" si="61"/>
        <v>20245143.630000003</v>
      </c>
      <c r="G183" s="327">
        <f t="shared" si="61"/>
        <v>24139022.149999999</v>
      </c>
      <c r="H183" s="328">
        <f t="shared" si="61"/>
        <v>20184871.670000002</v>
      </c>
      <c r="I183" s="329">
        <f t="shared" si="61"/>
        <v>22832644.27</v>
      </c>
      <c r="J183" s="330">
        <f t="shared" si="61"/>
        <v>21419364</v>
      </c>
      <c r="K183" s="330">
        <f t="shared" si="61"/>
        <v>22040927</v>
      </c>
      <c r="L183" s="330">
        <f t="shared" si="61"/>
        <v>23355480</v>
      </c>
      <c r="M183" s="330">
        <f t="shared" si="61"/>
        <v>23540260</v>
      </c>
      <c r="N183" s="330">
        <f t="shared" si="61"/>
        <v>24625900</v>
      </c>
      <c r="O183" s="330">
        <f t="shared" si="61"/>
        <v>25270936</v>
      </c>
      <c r="P183" s="330">
        <f t="shared" si="61"/>
        <v>27683412</v>
      </c>
      <c r="Q183" s="330">
        <f t="shared" si="61"/>
        <v>30394663</v>
      </c>
      <c r="R183" s="330">
        <f t="shared" si="61"/>
        <v>31905503.420000002</v>
      </c>
      <c r="S183" s="330">
        <f t="shared" si="61"/>
        <v>0</v>
      </c>
      <c r="T183" s="330">
        <f t="shared" si="61"/>
        <v>0</v>
      </c>
      <c r="U183" s="330">
        <f t="shared" si="61"/>
        <v>0</v>
      </c>
      <c r="V183" s="330">
        <f t="shared" si="61"/>
        <v>0</v>
      </c>
      <c r="W183" s="330">
        <f t="shared" si="61"/>
        <v>0</v>
      </c>
      <c r="X183" s="330">
        <f t="shared" si="61"/>
        <v>0</v>
      </c>
      <c r="Y183" s="330">
        <f t="shared" si="61"/>
        <v>0</v>
      </c>
      <c r="Z183" s="330">
        <f t="shared" si="61"/>
        <v>0</v>
      </c>
      <c r="AA183" s="330">
        <f t="shared" si="61"/>
        <v>0</v>
      </c>
      <c r="AB183" s="330">
        <f t="shared" si="61"/>
        <v>0</v>
      </c>
      <c r="AC183" s="330">
        <f t="shared" si="61"/>
        <v>0</v>
      </c>
      <c r="AD183" s="330">
        <f t="shared" si="61"/>
        <v>0</v>
      </c>
      <c r="AE183" s="330">
        <f t="shared" si="61"/>
        <v>0</v>
      </c>
      <c r="AF183" s="330">
        <f t="shared" si="61"/>
        <v>0</v>
      </c>
      <c r="AG183" s="330">
        <f t="shared" si="61"/>
        <v>0</v>
      </c>
      <c r="AH183" s="330">
        <f t="shared" si="61"/>
        <v>0</v>
      </c>
      <c r="AI183" s="330">
        <f t="shared" si="61"/>
        <v>0</v>
      </c>
      <c r="AJ183" s="330">
        <f t="shared" si="61"/>
        <v>0</v>
      </c>
      <c r="AK183" s="330">
        <f t="shared" si="61"/>
        <v>0</v>
      </c>
      <c r="AL183" s="331">
        <f t="shared" si="61"/>
        <v>0</v>
      </c>
      <c r="AM183" s="323"/>
    </row>
    <row r="184" spans="2:39" ht="15" hidden="1" outlineLevel="2">
      <c r="B184" s="323"/>
      <c r="C184" s="324"/>
      <c r="D184" s="332" t="s">
        <v>587</v>
      </c>
      <c r="E184" s="333">
        <f t="shared" ref="E184:AL184" si="62">E20+E28</f>
        <v>18802683.050000001</v>
      </c>
      <c r="F184" s="334">
        <f t="shared" si="62"/>
        <v>24474004.48</v>
      </c>
      <c r="G184" s="334">
        <f t="shared" si="62"/>
        <v>23725361.149999999</v>
      </c>
      <c r="H184" s="335">
        <f t="shared" si="62"/>
        <v>19823836.719999999</v>
      </c>
      <c r="I184" s="336">
        <f t="shared" si="62"/>
        <v>20968123.27</v>
      </c>
      <c r="J184" s="337">
        <f t="shared" si="62"/>
        <v>19465954</v>
      </c>
      <c r="K184" s="337">
        <f t="shared" si="62"/>
        <v>20087517</v>
      </c>
      <c r="L184" s="337">
        <f t="shared" si="62"/>
        <v>21402070</v>
      </c>
      <c r="M184" s="337">
        <f t="shared" si="62"/>
        <v>21586850</v>
      </c>
      <c r="N184" s="337">
        <f t="shared" si="62"/>
        <v>22672490</v>
      </c>
      <c r="O184" s="337">
        <f t="shared" si="62"/>
        <v>23357526</v>
      </c>
      <c r="P184" s="337">
        <f t="shared" si="62"/>
        <v>26673396</v>
      </c>
      <c r="Q184" s="337">
        <f t="shared" si="62"/>
        <v>30035811</v>
      </c>
      <c r="R184" s="337">
        <f t="shared" si="62"/>
        <v>31546570</v>
      </c>
      <c r="S184" s="337">
        <f t="shared" si="62"/>
        <v>0</v>
      </c>
      <c r="T184" s="337">
        <f t="shared" si="62"/>
        <v>0</v>
      </c>
      <c r="U184" s="337">
        <f t="shared" si="62"/>
        <v>0</v>
      </c>
      <c r="V184" s="337">
        <f t="shared" si="62"/>
        <v>0</v>
      </c>
      <c r="W184" s="337">
        <f t="shared" si="62"/>
        <v>0</v>
      </c>
      <c r="X184" s="337">
        <f t="shared" si="62"/>
        <v>0</v>
      </c>
      <c r="Y184" s="337">
        <f t="shared" si="62"/>
        <v>0</v>
      </c>
      <c r="Z184" s="337">
        <f t="shared" si="62"/>
        <v>0</v>
      </c>
      <c r="AA184" s="337">
        <f t="shared" si="62"/>
        <v>0</v>
      </c>
      <c r="AB184" s="337">
        <f t="shared" si="62"/>
        <v>0</v>
      </c>
      <c r="AC184" s="337">
        <f t="shared" si="62"/>
        <v>0</v>
      </c>
      <c r="AD184" s="337">
        <f t="shared" si="62"/>
        <v>0</v>
      </c>
      <c r="AE184" s="337">
        <f t="shared" si="62"/>
        <v>0</v>
      </c>
      <c r="AF184" s="337">
        <f t="shared" si="62"/>
        <v>0</v>
      </c>
      <c r="AG184" s="337">
        <f t="shared" si="62"/>
        <v>0</v>
      </c>
      <c r="AH184" s="337">
        <f t="shared" si="62"/>
        <v>0</v>
      </c>
      <c r="AI184" s="337">
        <f t="shared" si="62"/>
        <v>0</v>
      </c>
      <c r="AJ184" s="337">
        <f t="shared" si="62"/>
        <v>0</v>
      </c>
      <c r="AK184" s="337">
        <f t="shared" si="62"/>
        <v>0</v>
      </c>
      <c r="AL184" s="338">
        <f t="shared" si="62"/>
        <v>0</v>
      </c>
      <c r="AM184" s="323"/>
    </row>
    <row r="185" spans="2:39" ht="15" hidden="1" outlineLevel="2">
      <c r="B185" s="323"/>
      <c r="C185" s="324"/>
      <c r="D185" s="332" t="s">
        <v>588</v>
      </c>
      <c r="E185" s="333">
        <f t="shared" ref="E185:AL185" si="63">E8-E19</f>
        <v>-67953.5</v>
      </c>
      <c r="F185" s="334">
        <f t="shared" si="63"/>
        <v>-4228860.8500000015</v>
      </c>
      <c r="G185" s="334">
        <f t="shared" si="63"/>
        <v>413661</v>
      </c>
      <c r="H185" s="335">
        <f t="shared" si="63"/>
        <v>361034.95000000298</v>
      </c>
      <c r="I185" s="336">
        <f t="shared" si="63"/>
        <v>1864521</v>
      </c>
      <c r="J185" s="337">
        <f t="shared" si="63"/>
        <v>1953410</v>
      </c>
      <c r="K185" s="337">
        <f t="shared" si="63"/>
        <v>1953410</v>
      </c>
      <c r="L185" s="337">
        <f t="shared" si="63"/>
        <v>1953410</v>
      </c>
      <c r="M185" s="337">
        <f t="shared" si="63"/>
        <v>1953410</v>
      </c>
      <c r="N185" s="337">
        <f t="shared" si="63"/>
        <v>1953410</v>
      </c>
      <c r="O185" s="337">
        <f t="shared" si="63"/>
        <v>1913410</v>
      </c>
      <c r="P185" s="337">
        <f t="shared" si="63"/>
        <v>1010016</v>
      </c>
      <c r="Q185" s="337">
        <f t="shared" si="63"/>
        <v>358852</v>
      </c>
      <c r="R185" s="337">
        <f t="shared" si="63"/>
        <v>358933.42000000179</v>
      </c>
      <c r="S185" s="337">
        <f t="shared" si="63"/>
        <v>0</v>
      </c>
      <c r="T185" s="337">
        <f t="shared" si="63"/>
        <v>0</v>
      </c>
      <c r="U185" s="337">
        <f t="shared" si="63"/>
        <v>0</v>
      </c>
      <c r="V185" s="337">
        <f t="shared" si="63"/>
        <v>0</v>
      </c>
      <c r="W185" s="337">
        <f t="shared" si="63"/>
        <v>0</v>
      </c>
      <c r="X185" s="337">
        <f t="shared" si="63"/>
        <v>0</v>
      </c>
      <c r="Y185" s="337">
        <f t="shared" si="63"/>
        <v>0</v>
      </c>
      <c r="Z185" s="337">
        <f t="shared" si="63"/>
        <v>0</v>
      </c>
      <c r="AA185" s="337">
        <f t="shared" si="63"/>
        <v>0</v>
      </c>
      <c r="AB185" s="337">
        <f t="shared" si="63"/>
        <v>0</v>
      </c>
      <c r="AC185" s="337">
        <f t="shared" si="63"/>
        <v>0</v>
      </c>
      <c r="AD185" s="337">
        <f t="shared" si="63"/>
        <v>0</v>
      </c>
      <c r="AE185" s="337">
        <f t="shared" si="63"/>
        <v>0</v>
      </c>
      <c r="AF185" s="337">
        <f t="shared" si="63"/>
        <v>0</v>
      </c>
      <c r="AG185" s="337">
        <f t="shared" si="63"/>
        <v>0</v>
      </c>
      <c r="AH185" s="337">
        <f t="shared" si="63"/>
        <v>0</v>
      </c>
      <c r="AI185" s="337">
        <f t="shared" si="63"/>
        <v>0</v>
      </c>
      <c r="AJ185" s="337">
        <f t="shared" si="63"/>
        <v>0</v>
      </c>
      <c r="AK185" s="337">
        <f t="shared" si="63"/>
        <v>0</v>
      </c>
      <c r="AL185" s="338">
        <f t="shared" si="63"/>
        <v>0</v>
      </c>
      <c r="AM185" s="323"/>
    </row>
    <row r="186" spans="2:39" ht="15" hidden="1" outlineLevel="2">
      <c r="B186" s="323"/>
      <c r="C186" s="324"/>
      <c r="D186" s="339" t="s">
        <v>589</v>
      </c>
      <c r="E186" s="340" t="s">
        <v>204</v>
      </c>
      <c r="F186" s="334">
        <f>E46+F35-F40+(F103-E103)+F108</f>
        <v>19551002.510000002</v>
      </c>
      <c r="G186" s="341" t="s">
        <v>204</v>
      </c>
      <c r="H186" s="335">
        <f>F46+H35-H40+(H103-F103)+H108</f>
        <v>17851173.010000002</v>
      </c>
      <c r="I186" s="336">
        <f t="shared" ref="I186:AL186" si="64">H46+I35-I40+(I103-H103)+I108</f>
        <v>15106620.550000001</v>
      </c>
      <c r="J186" s="337">
        <f t="shared" si="64"/>
        <v>12473756.140000001</v>
      </c>
      <c r="K186" s="337">
        <f t="shared" si="64"/>
        <v>9840892.4199999999</v>
      </c>
      <c r="L186" s="337">
        <f t="shared" si="64"/>
        <v>7559017.4199999999</v>
      </c>
      <c r="M186" s="337">
        <f t="shared" si="64"/>
        <v>5594621.4199999999</v>
      </c>
      <c r="N186" s="337">
        <f t="shared" si="64"/>
        <v>3641211.42</v>
      </c>
      <c r="O186" s="337">
        <f t="shared" si="64"/>
        <v>1727801.42</v>
      </c>
      <c r="P186" s="337">
        <f t="shared" si="64"/>
        <v>717785.41999999993</v>
      </c>
      <c r="Q186" s="337">
        <f t="shared" si="64"/>
        <v>358933.42000000004</v>
      </c>
      <c r="R186" s="337">
        <f t="shared" si="64"/>
        <v>0</v>
      </c>
      <c r="S186" s="337">
        <f t="shared" si="64"/>
        <v>0</v>
      </c>
      <c r="T186" s="337">
        <f t="shared" si="64"/>
        <v>0</v>
      </c>
      <c r="U186" s="337">
        <f t="shared" si="64"/>
        <v>0</v>
      </c>
      <c r="V186" s="337">
        <f t="shared" si="64"/>
        <v>0</v>
      </c>
      <c r="W186" s="337">
        <f t="shared" si="64"/>
        <v>0</v>
      </c>
      <c r="X186" s="337">
        <f t="shared" si="64"/>
        <v>0</v>
      </c>
      <c r="Y186" s="337">
        <f t="shared" si="64"/>
        <v>0</v>
      </c>
      <c r="Z186" s="337">
        <f t="shared" si="64"/>
        <v>0</v>
      </c>
      <c r="AA186" s="337">
        <f t="shared" si="64"/>
        <v>0</v>
      </c>
      <c r="AB186" s="337">
        <f t="shared" si="64"/>
        <v>0</v>
      </c>
      <c r="AC186" s="337">
        <f t="shared" si="64"/>
        <v>0</v>
      </c>
      <c r="AD186" s="337">
        <f t="shared" si="64"/>
        <v>0</v>
      </c>
      <c r="AE186" s="337">
        <f t="shared" si="64"/>
        <v>0</v>
      </c>
      <c r="AF186" s="337">
        <f t="shared" si="64"/>
        <v>0</v>
      </c>
      <c r="AG186" s="337">
        <f t="shared" si="64"/>
        <v>0</v>
      </c>
      <c r="AH186" s="337">
        <f t="shared" si="64"/>
        <v>0</v>
      </c>
      <c r="AI186" s="337">
        <f t="shared" si="64"/>
        <v>0</v>
      </c>
      <c r="AJ186" s="337">
        <f t="shared" si="64"/>
        <v>0</v>
      </c>
      <c r="AK186" s="337">
        <f t="shared" si="64"/>
        <v>0</v>
      </c>
      <c r="AL186" s="338">
        <f t="shared" si="64"/>
        <v>0</v>
      </c>
      <c r="AM186" s="323"/>
    </row>
    <row r="187" spans="2:39" ht="24" hidden="1" outlineLevel="2">
      <c r="B187" s="323"/>
      <c r="C187" s="324"/>
      <c r="D187" s="342" t="s">
        <v>590</v>
      </c>
      <c r="E187" s="343" t="s">
        <v>204</v>
      </c>
      <c r="F187" s="344">
        <f>E94-(F96+F97+F98+F99)</f>
        <v>0</v>
      </c>
      <c r="G187" s="345" t="s">
        <v>204</v>
      </c>
      <c r="H187" s="346">
        <f>F94-(H96+H97+H98+H99)</f>
        <v>0</v>
      </c>
      <c r="I187" s="347">
        <f t="shared" ref="I187:AL187" si="65">H94-(I96+I97+I98+I99)</f>
        <v>0</v>
      </c>
      <c r="J187" s="348">
        <f t="shared" si="65"/>
        <v>0</v>
      </c>
      <c r="K187" s="348">
        <f t="shared" si="65"/>
        <v>0</v>
      </c>
      <c r="L187" s="348">
        <f t="shared" si="65"/>
        <v>0</v>
      </c>
      <c r="M187" s="348">
        <f t="shared" si="65"/>
        <v>0</v>
      </c>
      <c r="N187" s="348">
        <f t="shared" si="65"/>
        <v>0</v>
      </c>
      <c r="O187" s="348">
        <f t="shared" si="65"/>
        <v>0</v>
      </c>
      <c r="P187" s="348">
        <f t="shared" si="65"/>
        <v>0</v>
      </c>
      <c r="Q187" s="348">
        <f t="shared" si="65"/>
        <v>0</v>
      </c>
      <c r="R187" s="348">
        <f t="shared" si="65"/>
        <v>0</v>
      </c>
      <c r="S187" s="348">
        <f t="shared" si="65"/>
        <v>0</v>
      </c>
      <c r="T187" s="348">
        <f t="shared" si="65"/>
        <v>0</v>
      </c>
      <c r="U187" s="348">
        <f t="shared" si="65"/>
        <v>0</v>
      </c>
      <c r="V187" s="348">
        <f t="shared" si="65"/>
        <v>0</v>
      </c>
      <c r="W187" s="348">
        <f t="shared" si="65"/>
        <v>0</v>
      </c>
      <c r="X187" s="348">
        <f t="shared" si="65"/>
        <v>0</v>
      </c>
      <c r="Y187" s="348">
        <f t="shared" si="65"/>
        <v>0</v>
      </c>
      <c r="Z187" s="348">
        <f t="shared" si="65"/>
        <v>0</v>
      </c>
      <c r="AA187" s="348">
        <f t="shared" si="65"/>
        <v>0</v>
      </c>
      <c r="AB187" s="348">
        <f t="shared" si="65"/>
        <v>0</v>
      </c>
      <c r="AC187" s="348">
        <f t="shared" si="65"/>
        <v>0</v>
      </c>
      <c r="AD187" s="348">
        <f t="shared" si="65"/>
        <v>0</v>
      </c>
      <c r="AE187" s="348">
        <f t="shared" si="65"/>
        <v>0</v>
      </c>
      <c r="AF187" s="348">
        <f t="shared" si="65"/>
        <v>0</v>
      </c>
      <c r="AG187" s="348">
        <f t="shared" si="65"/>
        <v>0</v>
      </c>
      <c r="AH187" s="348">
        <f t="shared" si="65"/>
        <v>0</v>
      </c>
      <c r="AI187" s="348">
        <f t="shared" si="65"/>
        <v>0</v>
      </c>
      <c r="AJ187" s="348">
        <f t="shared" si="65"/>
        <v>0</v>
      </c>
      <c r="AK187" s="348">
        <f t="shared" si="65"/>
        <v>0</v>
      </c>
      <c r="AL187" s="349">
        <f t="shared" si="65"/>
        <v>0</v>
      </c>
      <c r="AM187" s="323"/>
    </row>
    <row r="188" spans="2:39" hidden="1">
      <c r="E188" s="350"/>
      <c r="F188" s="350"/>
      <c r="G188" s="350"/>
      <c r="H188" s="350"/>
    </row>
    <row r="189" spans="2:39" ht="15.75" hidden="1" collapsed="1">
      <c r="D189" s="351" t="s">
        <v>591</v>
      </c>
      <c r="E189" s="352"/>
      <c r="F189" s="352"/>
      <c r="G189" s="352"/>
      <c r="H189" s="352"/>
    </row>
    <row r="190" spans="2:39" hidden="1" outlineLevel="1">
      <c r="D190" s="353" t="s">
        <v>592</v>
      </c>
      <c r="E190" s="354"/>
      <c r="F190" s="354"/>
      <c r="G190" s="354"/>
      <c r="H190" s="354"/>
    </row>
    <row r="191" spans="2:39" hidden="1" outlineLevel="2">
      <c r="D191" s="355">
        <v>0</v>
      </c>
      <c r="E191" s="356" t="str">
        <f>+"różnica mniejsza od "&amp;TEXT(D191*100,"0,0")&amp;"%"</f>
        <v>różnica mniejsza od 0,0%</v>
      </c>
      <c r="F191" s="357"/>
      <c r="G191" s="357"/>
      <c r="H191" s="357"/>
      <c r="I191" s="191"/>
      <c r="J191" s="358"/>
      <c r="K191" s="358"/>
      <c r="L191" s="358"/>
      <c r="M191" s="358"/>
      <c r="N191" s="358"/>
      <c r="O191" s="358"/>
      <c r="P191" s="358"/>
      <c r="Q191" s="358"/>
      <c r="R191" s="358"/>
      <c r="S191" s="358"/>
      <c r="T191" s="358"/>
      <c r="U191" s="358"/>
      <c r="V191" s="358"/>
      <c r="W191" s="358"/>
      <c r="X191" s="358"/>
      <c r="Y191" s="358"/>
      <c r="Z191" s="358"/>
      <c r="AA191" s="358"/>
      <c r="AB191" s="358"/>
      <c r="AC191" s="358"/>
      <c r="AD191" s="358"/>
      <c r="AE191" s="358"/>
      <c r="AF191" s="358"/>
      <c r="AG191" s="358"/>
      <c r="AH191" s="358"/>
      <c r="AI191" s="358"/>
      <c r="AJ191" s="358"/>
      <c r="AK191" s="358"/>
      <c r="AL191" s="358"/>
    </row>
    <row r="192" spans="2:39" hidden="1" outlineLevel="2">
      <c r="D192" s="359">
        <v>5.0000000000000001E-3</v>
      </c>
      <c r="E192" s="356" t="str">
        <f>+"różnica mniejsza od "&amp;TEXT(D192*100,"0,0")&amp;"%"</f>
        <v>różnica mniejsza od 0,5%</v>
      </c>
      <c r="F192" s="357"/>
      <c r="G192" s="357"/>
      <c r="H192" s="357"/>
      <c r="I192" s="191"/>
      <c r="J192" s="358"/>
      <c r="K192" s="358"/>
      <c r="L192" s="358"/>
      <c r="M192" s="358"/>
      <c r="N192" s="358"/>
      <c r="O192" s="358"/>
      <c r="P192" s="358"/>
      <c r="Q192" s="358"/>
      <c r="R192" s="358"/>
      <c r="S192" s="358"/>
      <c r="T192" s="358"/>
      <c r="U192" s="358"/>
      <c r="V192" s="358"/>
      <c r="W192" s="358"/>
      <c r="X192" s="358"/>
      <c r="Y192" s="358"/>
      <c r="Z192" s="358"/>
      <c r="AA192" s="358"/>
      <c r="AB192" s="358"/>
      <c r="AC192" s="358"/>
      <c r="AD192" s="358"/>
      <c r="AE192" s="358"/>
      <c r="AF192" s="358"/>
      <c r="AG192" s="358"/>
      <c r="AH192" s="358"/>
      <c r="AI192" s="358"/>
      <c r="AJ192" s="358"/>
      <c r="AK192" s="358"/>
      <c r="AL192" s="358"/>
    </row>
    <row r="193" spans="2:39" hidden="1" outlineLevel="2">
      <c r="D193" s="360">
        <v>0.01</v>
      </c>
      <c r="E193" s="356" t="str">
        <f>+"różnica mniejsza od "&amp;TEXT(D193*100,"0,0")&amp;"%"</f>
        <v>różnica mniejsza od 1,0%</v>
      </c>
      <c r="F193" s="357"/>
      <c r="G193" s="357"/>
      <c r="H193" s="357"/>
      <c r="I193" s="191"/>
      <c r="J193" s="358"/>
      <c r="K193" s="358"/>
      <c r="L193" s="358"/>
      <c r="M193" s="358"/>
      <c r="N193" s="358"/>
      <c r="O193" s="358"/>
      <c r="P193" s="358"/>
      <c r="Q193" s="358"/>
      <c r="R193" s="358"/>
      <c r="S193" s="358"/>
      <c r="T193" s="358"/>
      <c r="U193" s="358"/>
      <c r="V193" s="358"/>
      <c r="W193" s="358"/>
      <c r="X193" s="358"/>
      <c r="Y193" s="358"/>
      <c r="Z193" s="358"/>
      <c r="AA193" s="358"/>
      <c r="AB193" s="358"/>
      <c r="AC193" s="358"/>
      <c r="AD193" s="358"/>
      <c r="AE193" s="358"/>
      <c r="AF193" s="358"/>
      <c r="AG193" s="358"/>
      <c r="AH193" s="358"/>
      <c r="AI193" s="358"/>
      <c r="AJ193" s="358"/>
      <c r="AK193" s="358"/>
      <c r="AL193" s="358"/>
    </row>
    <row r="194" spans="2:39" hidden="1" outlineLevel="2">
      <c r="D194" s="361" t="s">
        <v>593</v>
      </c>
      <c r="E194" s="362" t="s">
        <v>204</v>
      </c>
      <c r="F194" s="363" t="s">
        <v>204</v>
      </c>
      <c r="G194" s="363" t="s">
        <v>204</v>
      </c>
      <c r="H194" s="364" t="s">
        <v>204</v>
      </c>
      <c r="I194" s="365">
        <f t="shared" ref="I194:AL194" si="66">+IF(I8=0,"",I57-I52)</f>
        <v>3.8000000000000117E-3</v>
      </c>
      <c r="J194" s="366">
        <f t="shared" si="66"/>
        <v>7.5000000000000067E-3</v>
      </c>
      <c r="K194" s="366">
        <f t="shared" si="66"/>
        <v>4.07E-2</v>
      </c>
      <c r="L194" s="366">
        <f t="shared" si="66"/>
        <v>6.5399999999999986E-2</v>
      </c>
      <c r="M194" s="366">
        <f t="shared" si="66"/>
        <v>6.8400000000000016E-2</v>
      </c>
      <c r="N194" s="366">
        <f t="shared" si="66"/>
        <v>7.6100000000000001E-2</v>
      </c>
      <c r="O194" s="366">
        <f t="shared" si="66"/>
        <v>8.7700000000000014E-2</v>
      </c>
      <c r="P194" s="366">
        <f t="shared" si="66"/>
        <v>0.13800000000000001</v>
      </c>
      <c r="Q194" s="366">
        <f t="shared" si="66"/>
        <v>0.17610000000000001</v>
      </c>
      <c r="R194" s="366">
        <f t="shared" si="66"/>
        <v>0.185</v>
      </c>
      <c r="S194" s="366" t="str">
        <f t="shared" si="66"/>
        <v/>
      </c>
      <c r="T194" s="366" t="str">
        <f t="shared" si="66"/>
        <v/>
      </c>
      <c r="U194" s="366" t="str">
        <f t="shared" si="66"/>
        <v/>
      </c>
      <c r="V194" s="366" t="str">
        <f t="shared" si="66"/>
        <v/>
      </c>
      <c r="W194" s="366" t="str">
        <f t="shared" si="66"/>
        <v/>
      </c>
      <c r="X194" s="366" t="str">
        <f t="shared" si="66"/>
        <v/>
      </c>
      <c r="Y194" s="366" t="str">
        <f t="shared" si="66"/>
        <v/>
      </c>
      <c r="Z194" s="366" t="str">
        <f t="shared" si="66"/>
        <v/>
      </c>
      <c r="AA194" s="366" t="str">
        <f t="shared" si="66"/>
        <v/>
      </c>
      <c r="AB194" s="366" t="str">
        <f t="shared" si="66"/>
        <v/>
      </c>
      <c r="AC194" s="366" t="str">
        <f t="shared" si="66"/>
        <v/>
      </c>
      <c r="AD194" s="366" t="str">
        <f t="shared" si="66"/>
        <v/>
      </c>
      <c r="AE194" s="366" t="str">
        <f t="shared" si="66"/>
        <v/>
      </c>
      <c r="AF194" s="366" t="str">
        <f t="shared" si="66"/>
        <v/>
      </c>
      <c r="AG194" s="366" t="str">
        <f t="shared" si="66"/>
        <v/>
      </c>
      <c r="AH194" s="366" t="str">
        <f t="shared" si="66"/>
        <v/>
      </c>
      <c r="AI194" s="366" t="str">
        <f t="shared" si="66"/>
        <v/>
      </c>
      <c r="AJ194" s="366" t="str">
        <f t="shared" si="66"/>
        <v/>
      </c>
      <c r="AK194" s="366" t="str">
        <f t="shared" si="66"/>
        <v/>
      </c>
      <c r="AL194" s="367" t="str">
        <f t="shared" si="66"/>
        <v/>
      </c>
    </row>
    <row r="195" spans="2:39" hidden="1" outlineLevel="2">
      <c r="D195" s="368" t="s">
        <v>594</v>
      </c>
      <c r="E195" s="369" t="s">
        <v>204</v>
      </c>
      <c r="F195" s="370" t="s">
        <v>204</v>
      </c>
      <c r="G195" s="370" t="s">
        <v>204</v>
      </c>
      <c r="H195" s="371" t="s">
        <v>204</v>
      </c>
      <c r="I195" s="372">
        <f t="shared" ref="I195:AL195" si="67">+IF(I8=0,"",I57-I53)</f>
        <v>4.4999999999999998E-2</v>
      </c>
      <c r="J195" s="373">
        <f t="shared" si="67"/>
        <v>7.5000000000000067E-3</v>
      </c>
      <c r="K195" s="373">
        <f t="shared" si="67"/>
        <v>4.07E-2</v>
      </c>
      <c r="L195" s="373">
        <f t="shared" si="67"/>
        <v>6.5399999999999986E-2</v>
      </c>
      <c r="M195" s="373">
        <f t="shared" si="67"/>
        <v>6.8400000000000016E-2</v>
      </c>
      <c r="N195" s="373">
        <f t="shared" si="67"/>
        <v>7.6100000000000001E-2</v>
      </c>
      <c r="O195" s="373">
        <f t="shared" si="67"/>
        <v>8.7700000000000014E-2</v>
      </c>
      <c r="P195" s="373">
        <f t="shared" si="67"/>
        <v>0.13800000000000001</v>
      </c>
      <c r="Q195" s="373">
        <f t="shared" si="67"/>
        <v>0.17610000000000001</v>
      </c>
      <c r="R195" s="373">
        <f t="shared" si="67"/>
        <v>0.185</v>
      </c>
      <c r="S195" s="373" t="str">
        <f t="shared" si="67"/>
        <v/>
      </c>
      <c r="T195" s="373" t="str">
        <f t="shared" si="67"/>
        <v/>
      </c>
      <c r="U195" s="373" t="str">
        <f t="shared" si="67"/>
        <v/>
      </c>
      <c r="V195" s="373" t="str">
        <f t="shared" si="67"/>
        <v/>
      </c>
      <c r="W195" s="373" t="str">
        <f t="shared" si="67"/>
        <v/>
      </c>
      <c r="X195" s="373" t="str">
        <f t="shared" si="67"/>
        <v/>
      </c>
      <c r="Y195" s="373" t="str">
        <f t="shared" si="67"/>
        <v/>
      </c>
      <c r="Z195" s="373" t="str">
        <f t="shared" si="67"/>
        <v/>
      </c>
      <c r="AA195" s="373" t="str">
        <f t="shared" si="67"/>
        <v/>
      </c>
      <c r="AB195" s="373" t="str">
        <f t="shared" si="67"/>
        <v/>
      </c>
      <c r="AC195" s="373" t="str">
        <f t="shared" si="67"/>
        <v/>
      </c>
      <c r="AD195" s="373" t="str">
        <f t="shared" si="67"/>
        <v/>
      </c>
      <c r="AE195" s="373" t="str">
        <f t="shared" si="67"/>
        <v/>
      </c>
      <c r="AF195" s="373" t="str">
        <f t="shared" si="67"/>
        <v/>
      </c>
      <c r="AG195" s="373" t="str">
        <f t="shared" si="67"/>
        <v/>
      </c>
      <c r="AH195" s="373" t="str">
        <f t="shared" si="67"/>
        <v/>
      </c>
      <c r="AI195" s="373" t="str">
        <f t="shared" si="67"/>
        <v/>
      </c>
      <c r="AJ195" s="373" t="str">
        <f t="shared" si="67"/>
        <v/>
      </c>
      <c r="AK195" s="373" t="str">
        <f t="shared" si="67"/>
        <v/>
      </c>
      <c r="AL195" s="374" t="str">
        <f t="shared" si="67"/>
        <v/>
      </c>
    </row>
    <row r="196" spans="2:39" hidden="1" outlineLevel="2">
      <c r="D196" s="361" t="s">
        <v>595</v>
      </c>
      <c r="E196" s="362" t="s">
        <v>204</v>
      </c>
      <c r="F196" s="363" t="s">
        <v>204</v>
      </c>
      <c r="G196" s="363" t="s">
        <v>204</v>
      </c>
      <c r="H196" s="364" t="s">
        <v>204</v>
      </c>
      <c r="I196" s="365">
        <f t="shared" ref="I196:AL196" si="68">+IF(I8=0,"",I58-I52)</f>
        <v>8.4000000000000047E-3</v>
      </c>
      <c r="J196" s="366">
        <f t="shared" si="68"/>
        <v>1.21E-2</v>
      </c>
      <c r="K196" s="366">
        <f t="shared" si="68"/>
        <v>4.5200000000000004E-2</v>
      </c>
      <c r="L196" s="366">
        <f t="shared" si="68"/>
        <v>6.5399999999999986E-2</v>
      </c>
      <c r="M196" s="366">
        <f t="shared" si="68"/>
        <v>6.8400000000000016E-2</v>
      </c>
      <c r="N196" s="366">
        <f t="shared" si="68"/>
        <v>7.6100000000000001E-2</v>
      </c>
      <c r="O196" s="366">
        <f t="shared" si="68"/>
        <v>8.7700000000000014E-2</v>
      </c>
      <c r="P196" s="366">
        <f t="shared" si="68"/>
        <v>0.13800000000000001</v>
      </c>
      <c r="Q196" s="366">
        <f t="shared" si="68"/>
        <v>0.17610000000000001</v>
      </c>
      <c r="R196" s="366">
        <f t="shared" si="68"/>
        <v>0.185</v>
      </c>
      <c r="S196" s="366" t="str">
        <f t="shared" si="68"/>
        <v/>
      </c>
      <c r="T196" s="366" t="str">
        <f t="shared" si="68"/>
        <v/>
      </c>
      <c r="U196" s="366" t="str">
        <f t="shared" si="68"/>
        <v/>
      </c>
      <c r="V196" s="366" t="str">
        <f t="shared" si="68"/>
        <v/>
      </c>
      <c r="W196" s="366" t="str">
        <f t="shared" si="68"/>
        <v/>
      </c>
      <c r="X196" s="366" t="str">
        <f t="shared" si="68"/>
        <v/>
      </c>
      <c r="Y196" s="366" t="str">
        <f t="shared" si="68"/>
        <v/>
      </c>
      <c r="Z196" s="366" t="str">
        <f t="shared" si="68"/>
        <v/>
      </c>
      <c r="AA196" s="366" t="str">
        <f t="shared" si="68"/>
        <v/>
      </c>
      <c r="AB196" s="366" t="str">
        <f t="shared" si="68"/>
        <v/>
      </c>
      <c r="AC196" s="366" t="str">
        <f t="shared" si="68"/>
        <v/>
      </c>
      <c r="AD196" s="366" t="str">
        <f t="shared" si="68"/>
        <v/>
      </c>
      <c r="AE196" s="366" t="str">
        <f t="shared" si="68"/>
        <v/>
      </c>
      <c r="AF196" s="366" t="str">
        <f t="shared" si="68"/>
        <v/>
      </c>
      <c r="AG196" s="366" t="str">
        <f t="shared" si="68"/>
        <v/>
      </c>
      <c r="AH196" s="366" t="str">
        <f t="shared" si="68"/>
        <v/>
      </c>
      <c r="AI196" s="366" t="str">
        <f t="shared" si="68"/>
        <v/>
      </c>
      <c r="AJ196" s="366" t="str">
        <f t="shared" si="68"/>
        <v/>
      </c>
      <c r="AK196" s="366" t="str">
        <f t="shared" si="68"/>
        <v/>
      </c>
      <c r="AL196" s="367" t="str">
        <f t="shared" si="68"/>
        <v/>
      </c>
    </row>
    <row r="197" spans="2:39" hidden="1" outlineLevel="2">
      <c r="D197" s="368" t="s">
        <v>596</v>
      </c>
      <c r="E197" s="369" t="s">
        <v>204</v>
      </c>
      <c r="F197" s="370" t="s">
        <v>204</v>
      </c>
      <c r="G197" s="370" t="s">
        <v>204</v>
      </c>
      <c r="H197" s="371" t="s">
        <v>204</v>
      </c>
      <c r="I197" s="372">
        <f t="shared" ref="I197:AL197" si="69">+IF(I8=0,"",I58-I53)</f>
        <v>4.9599999999999991E-2</v>
      </c>
      <c r="J197" s="373">
        <f t="shared" si="69"/>
        <v>1.21E-2</v>
      </c>
      <c r="K197" s="373">
        <f t="shared" si="69"/>
        <v>4.5200000000000004E-2</v>
      </c>
      <c r="L197" s="373">
        <f t="shared" si="69"/>
        <v>6.5399999999999986E-2</v>
      </c>
      <c r="M197" s="373">
        <f t="shared" si="69"/>
        <v>6.8400000000000016E-2</v>
      </c>
      <c r="N197" s="373">
        <f t="shared" si="69"/>
        <v>7.6100000000000001E-2</v>
      </c>
      <c r="O197" s="373">
        <f t="shared" si="69"/>
        <v>8.7700000000000014E-2</v>
      </c>
      <c r="P197" s="373">
        <f t="shared" si="69"/>
        <v>0.13800000000000001</v>
      </c>
      <c r="Q197" s="373">
        <f t="shared" si="69"/>
        <v>0.17610000000000001</v>
      </c>
      <c r="R197" s="373">
        <f t="shared" si="69"/>
        <v>0.185</v>
      </c>
      <c r="S197" s="373" t="str">
        <f t="shared" si="69"/>
        <v/>
      </c>
      <c r="T197" s="373" t="str">
        <f t="shared" si="69"/>
        <v/>
      </c>
      <c r="U197" s="373" t="str">
        <f t="shared" si="69"/>
        <v/>
      </c>
      <c r="V197" s="373" t="str">
        <f t="shared" si="69"/>
        <v/>
      </c>
      <c r="W197" s="373" t="str">
        <f t="shared" si="69"/>
        <v/>
      </c>
      <c r="X197" s="373" t="str">
        <f t="shared" si="69"/>
        <v/>
      </c>
      <c r="Y197" s="373" t="str">
        <f t="shared" si="69"/>
        <v/>
      </c>
      <c r="Z197" s="373" t="str">
        <f t="shared" si="69"/>
        <v/>
      </c>
      <c r="AA197" s="373" t="str">
        <f t="shared" si="69"/>
        <v/>
      </c>
      <c r="AB197" s="373" t="str">
        <f t="shared" si="69"/>
        <v/>
      </c>
      <c r="AC197" s="373" t="str">
        <f t="shared" si="69"/>
        <v/>
      </c>
      <c r="AD197" s="373" t="str">
        <f t="shared" si="69"/>
        <v/>
      </c>
      <c r="AE197" s="373" t="str">
        <f t="shared" si="69"/>
        <v/>
      </c>
      <c r="AF197" s="373" t="str">
        <f t="shared" si="69"/>
        <v/>
      </c>
      <c r="AG197" s="373" t="str">
        <f t="shared" si="69"/>
        <v/>
      </c>
      <c r="AH197" s="373" t="str">
        <f t="shared" si="69"/>
        <v/>
      </c>
      <c r="AI197" s="373" t="str">
        <f t="shared" si="69"/>
        <v/>
      </c>
      <c r="AJ197" s="373" t="str">
        <f t="shared" si="69"/>
        <v/>
      </c>
      <c r="AK197" s="373" t="str">
        <f t="shared" si="69"/>
        <v/>
      </c>
      <c r="AL197" s="374" t="str">
        <f t="shared" si="69"/>
        <v/>
      </c>
    </row>
    <row r="198" spans="2:39" hidden="1" outlineLevel="1">
      <c r="D198" s="353" t="s">
        <v>597</v>
      </c>
      <c r="E198" s="354"/>
      <c r="F198" s="354"/>
      <c r="G198" s="354"/>
      <c r="H198" s="354"/>
      <c r="I198" s="358"/>
      <c r="J198" s="358"/>
      <c r="K198" s="358"/>
      <c r="L198" s="358"/>
      <c r="M198" s="358"/>
      <c r="N198" s="358"/>
      <c r="O198" s="358"/>
      <c r="P198" s="358"/>
      <c r="Q198" s="358"/>
      <c r="R198" s="358"/>
      <c r="S198" s="358"/>
      <c r="T198" s="358"/>
      <c r="U198" s="358"/>
      <c r="V198" s="358"/>
      <c r="W198" s="358"/>
      <c r="X198" s="358"/>
      <c r="Y198" s="358"/>
      <c r="Z198" s="358"/>
      <c r="AA198" s="358"/>
      <c r="AB198" s="358"/>
      <c r="AC198" s="358"/>
      <c r="AD198" s="358"/>
      <c r="AE198" s="358"/>
      <c r="AF198" s="358"/>
      <c r="AG198" s="358"/>
      <c r="AH198" s="358"/>
      <c r="AI198" s="358"/>
      <c r="AJ198" s="358"/>
      <c r="AK198" s="358"/>
      <c r="AL198" s="358"/>
    </row>
    <row r="199" spans="2:39" hidden="1" outlineLevel="2">
      <c r="D199" s="375">
        <v>0.05</v>
      </c>
      <c r="E199" s="356" t="str">
        <f>+"zmiana większa niż +/- "&amp;TEXT(D199*100,"0,0")&amp;"%"</f>
        <v>zmiana większa niż +/- 5,0%</v>
      </c>
      <c r="F199" s="376"/>
      <c r="G199" s="376"/>
      <c r="H199" s="376"/>
      <c r="J199" s="358"/>
      <c r="K199" s="358"/>
      <c r="L199" s="358"/>
      <c r="M199" s="358"/>
      <c r="N199" s="358"/>
      <c r="O199" s="358"/>
      <c r="P199" s="358"/>
      <c r="Q199" s="358"/>
      <c r="R199" s="358"/>
      <c r="S199" s="358"/>
      <c r="T199" s="358"/>
      <c r="U199" s="358"/>
      <c r="V199" s="358"/>
      <c r="W199" s="358"/>
      <c r="X199" s="358"/>
      <c r="Y199" s="358"/>
      <c r="Z199" s="358"/>
      <c r="AA199" s="358"/>
      <c r="AB199" s="358"/>
      <c r="AC199" s="358"/>
      <c r="AD199" s="358"/>
      <c r="AE199" s="358"/>
      <c r="AF199" s="358"/>
      <c r="AG199" s="358"/>
      <c r="AH199" s="358"/>
      <c r="AI199" s="358"/>
      <c r="AJ199" s="358"/>
      <c r="AK199" s="358"/>
      <c r="AL199" s="358"/>
    </row>
    <row r="200" spans="2:39" hidden="1" outlineLevel="2">
      <c r="D200" s="377">
        <v>0.1</v>
      </c>
      <c r="E200" s="356" t="str">
        <f>+"zmiana większa niż +/- "&amp;TEXT(D200*100,"0,0")&amp;"%"</f>
        <v>zmiana większa niż +/- 10,0%</v>
      </c>
      <c r="F200" s="376"/>
      <c r="G200" s="376"/>
      <c r="H200" s="376"/>
      <c r="J200" s="358"/>
      <c r="K200" s="358"/>
      <c r="L200" s="358"/>
      <c r="M200" s="358"/>
      <c r="N200" s="358"/>
      <c r="O200" s="358"/>
      <c r="P200" s="358"/>
      <c r="Q200" s="358"/>
      <c r="R200" s="358"/>
      <c r="S200" s="358"/>
      <c r="T200" s="358"/>
      <c r="U200" s="358"/>
      <c r="V200" s="358"/>
      <c r="W200" s="358"/>
      <c r="X200" s="358"/>
      <c r="Y200" s="358"/>
      <c r="Z200" s="358"/>
      <c r="AA200" s="358"/>
      <c r="AB200" s="358"/>
      <c r="AC200" s="358"/>
      <c r="AD200" s="358"/>
      <c r="AE200" s="358"/>
      <c r="AF200" s="358"/>
      <c r="AG200" s="358"/>
      <c r="AH200" s="358"/>
      <c r="AI200" s="358"/>
      <c r="AJ200" s="358"/>
      <c r="AK200" s="358"/>
      <c r="AL200" s="358"/>
    </row>
    <row r="201" spans="2:39" ht="228" hidden="1" outlineLevel="2">
      <c r="D201" s="378">
        <v>0.2</v>
      </c>
      <c r="E201" s="356" t="str">
        <f>+"zmiana większa niż +/- "&amp;TEXT(D201*100,"0,0")&amp;"%"</f>
        <v>zmiana większa niż +/- 20,0%</v>
      </c>
      <c r="F201" s="376"/>
      <c r="G201" s="379" t="s">
        <v>598</v>
      </c>
      <c r="H201" s="379" t="s">
        <v>599</v>
      </c>
      <c r="J201" s="358"/>
      <c r="K201" s="358"/>
      <c r="L201" s="358"/>
      <c r="M201" s="358"/>
      <c r="N201" s="358"/>
      <c r="O201" s="358"/>
      <c r="P201" s="358"/>
      <c r="Q201" s="358"/>
      <c r="R201" s="358"/>
      <c r="S201" s="358"/>
      <c r="T201" s="358"/>
      <c r="U201" s="358"/>
      <c r="V201" s="358"/>
      <c r="W201" s="358"/>
      <c r="X201" s="358"/>
      <c r="Y201" s="358"/>
      <c r="Z201" s="358"/>
      <c r="AA201" s="358"/>
      <c r="AB201" s="358"/>
      <c r="AC201" s="358"/>
      <c r="AD201" s="358"/>
      <c r="AE201" s="358"/>
      <c r="AF201" s="358"/>
      <c r="AG201" s="358"/>
      <c r="AH201" s="358"/>
      <c r="AI201" s="358"/>
      <c r="AJ201" s="358"/>
      <c r="AK201" s="358"/>
      <c r="AL201" s="358"/>
    </row>
    <row r="202" spans="2:39" hidden="1" outlineLevel="2">
      <c r="B202" s="380"/>
      <c r="C202" s="381"/>
      <c r="D202" s="382" t="s">
        <v>205</v>
      </c>
      <c r="E202" s="383" t="s">
        <v>600</v>
      </c>
      <c r="F202" s="384">
        <f t="shared" ref="F202:AL202" si="70">+IF(F8=0,0,IF(E228&lt;&gt;0,F228/E228-1,0))</f>
        <v>8.062107734029178E-2</v>
      </c>
      <c r="G202" s="384">
        <f t="shared" si="70"/>
        <v>0.19233642354751712</v>
      </c>
      <c r="H202" s="385">
        <f t="shared" si="70"/>
        <v>-0.1638074009555518</v>
      </c>
      <c r="I202" s="386">
        <f t="shared" si="70"/>
        <v>0.13117609283269704</v>
      </c>
      <c r="J202" s="387">
        <f t="shared" si="70"/>
        <v>-6.1897354213016897E-2</v>
      </c>
      <c r="K202" s="387">
        <f t="shared" si="70"/>
        <v>2.901874210644162E-2</v>
      </c>
      <c r="L202" s="387">
        <f t="shared" si="70"/>
        <v>5.964145700405421E-2</v>
      </c>
      <c r="M202" s="387">
        <f t="shared" si="70"/>
        <v>7.9116335866358245E-3</v>
      </c>
      <c r="N202" s="387">
        <f t="shared" si="70"/>
        <v>4.6118437094577525E-2</v>
      </c>
      <c r="O202" s="387">
        <f t="shared" si="70"/>
        <v>2.6193398007788637E-2</v>
      </c>
      <c r="P202" s="387">
        <f t="shared" si="70"/>
        <v>9.546444975366164E-2</v>
      </c>
      <c r="Q202" s="387">
        <f t="shared" si="70"/>
        <v>9.7937746980032658E-2</v>
      </c>
      <c r="R202" s="387">
        <f t="shared" si="70"/>
        <v>4.9707424622539964E-2</v>
      </c>
      <c r="S202" s="387">
        <f t="shared" si="70"/>
        <v>0</v>
      </c>
      <c r="T202" s="387">
        <f t="shared" si="70"/>
        <v>0</v>
      </c>
      <c r="U202" s="387">
        <f t="shared" si="70"/>
        <v>0</v>
      </c>
      <c r="V202" s="387">
        <f t="shared" si="70"/>
        <v>0</v>
      </c>
      <c r="W202" s="387">
        <f t="shared" si="70"/>
        <v>0</v>
      </c>
      <c r="X202" s="387">
        <f t="shared" si="70"/>
        <v>0</v>
      </c>
      <c r="Y202" s="387">
        <f t="shared" si="70"/>
        <v>0</v>
      </c>
      <c r="Z202" s="387">
        <f t="shared" si="70"/>
        <v>0</v>
      </c>
      <c r="AA202" s="387">
        <f t="shared" si="70"/>
        <v>0</v>
      </c>
      <c r="AB202" s="387">
        <f t="shared" si="70"/>
        <v>0</v>
      </c>
      <c r="AC202" s="387">
        <f t="shared" si="70"/>
        <v>0</v>
      </c>
      <c r="AD202" s="387">
        <f t="shared" si="70"/>
        <v>0</v>
      </c>
      <c r="AE202" s="387">
        <f t="shared" si="70"/>
        <v>0</v>
      </c>
      <c r="AF202" s="387">
        <f t="shared" si="70"/>
        <v>0</v>
      </c>
      <c r="AG202" s="387">
        <f t="shared" si="70"/>
        <v>0</v>
      </c>
      <c r="AH202" s="387">
        <f t="shared" si="70"/>
        <v>0</v>
      </c>
      <c r="AI202" s="387">
        <f t="shared" si="70"/>
        <v>0</v>
      </c>
      <c r="AJ202" s="387">
        <f t="shared" si="70"/>
        <v>0</v>
      </c>
      <c r="AK202" s="387">
        <f t="shared" si="70"/>
        <v>0</v>
      </c>
      <c r="AL202" s="388">
        <f t="shared" si="70"/>
        <v>0</v>
      </c>
      <c r="AM202" s="389"/>
    </row>
    <row r="203" spans="2:39" ht="15" hidden="1" outlineLevel="2">
      <c r="B203" s="390"/>
      <c r="C203" s="391"/>
      <c r="D203" s="392" t="s">
        <v>601</v>
      </c>
      <c r="E203" s="393" t="s">
        <v>600</v>
      </c>
      <c r="F203" s="394">
        <f t="shared" ref="F203:AL203" si="71">+IF(F8=0,0,IF(E229&lt;&gt;0,F229/E229-1,0))</f>
        <v>8.0305156629977059E-2</v>
      </c>
      <c r="G203" s="394">
        <f t="shared" si="71"/>
        <v>0.24964380182397017</v>
      </c>
      <c r="H203" s="395">
        <f t="shared" si="71"/>
        <v>-0.16320411080216124</v>
      </c>
      <c r="I203" s="396">
        <f t="shared" si="71"/>
        <v>0.15894341338546236</v>
      </c>
      <c r="J203" s="397">
        <f t="shared" si="71"/>
        <v>2.866339037810528E-3</v>
      </c>
      <c r="K203" s="397">
        <f t="shared" si="71"/>
        <v>2.5853187421940094E-2</v>
      </c>
      <c r="L203" s="397">
        <f t="shared" si="71"/>
        <v>4.0909786646413426E-2</v>
      </c>
      <c r="M203" s="397">
        <f t="shared" si="71"/>
        <v>3.7805641410300073E-3</v>
      </c>
      <c r="N203" s="397">
        <f t="shared" si="71"/>
        <v>3.5302233473304412E-2</v>
      </c>
      <c r="O203" s="397">
        <f t="shared" si="71"/>
        <v>3.8769393527030349E-2</v>
      </c>
      <c r="P203" s="397">
        <f t="shared" si="71"/>
        <v>3.911455395390151E-2</v>
      </c>
      <c r="Q203" s="397">
        <f t="shared" si="71"/>
        <v>4.1941023605828409E-2</v>
      </c>
      <c r="R203" s="397">
        <f t="shared" si="71"/>
        <v>3.682354748854566E-2</v>
      </c>
      <c r="S203" s="397">
        <f t="shared" si="71"/>
        <v>0</v>
      </c>
      <c r="T203" s="397">
        <f t="shared" si="71"/>
        <v>0</v>
      </c>
      <c r="U203" s="397">
        <f t="shared" si="71"/>
        <v>0</v>
      </c>
      <c r="V203" s="397">
        <f t="shared" si="71"/>
        <v>0</v>
      </c>
      <c r="W203" s="397">
        <f t="shared" si="71"/>
        <v>0</v>
      </c>
      <c r="X203" s="397">
        <f t="shared" si="71"/>
        <v>0</v>
      </c>
      <c r="Y203" s="397">
        <f t="shared" si="71"/>
        <v>0</v>
      </c>
      <c r="Z203" s="397">
        <f t="shared" si="71"/>
        <v>0</v>
      </c>
      <c r="AA203" s="397">
        <f t="shared" si="71"/>
        <v>0</v>
      </c>
      <c r="AB203" s="397">
        <f t="shared" si="71"/>
        <v>0</v>
      </c>
      <c r="AC203" s="397">
        <f t="shared" si="71"/>
        <v>0</v>
      </c>
      <c r="AD203" s="397">
        <f t="shared" si="71"/>
        <v>0</v>
      </c>
      <c r="AE203" s="397">
        <f t="shared" si="71"/>
        <v>0</v>
      </c>
      <c r="AF203" s="397">
        <f t="shared" si="71"/>
        <v>0</v>
      </c>
      <c r="AG203" s="397">
        <f t="shared" si="71"/>
        <v>0</v>
      </c>
      <c r="AH203" s="397">
        <f t="shared" si="71"/>
        <v>0</v>
      </c>
      <c r="AI203" s="397">
        <f t="shared" si="71"/>
        <v>0</v>
      </c>
      <c r="AJ203" s="397">
        <f t="shared" si="71"/>
        <v>0</v>
      </c>
      <c r="AK203" s="397">
        <f t="shared" si="71"/>
        <v>0</v>
      </c>
      <c r="AL203" s="398">
        <f t="shared" si="71"/>
        <v>0</v>
      </c>
      <c r="AM203" s="323"/>
    </row>
    <row r="204" spans="2:39" ht="15" hidden="1" outlineLevel="2">
      <c r="B204" s="390"/>
      <c r="C204" s="391"/>
      <c r="D204" s="399" t="s">
        <v>602</v>
      </c>
      <c r="E204" s="400" t="s">
        <v>600</v>
      </c>
      <c r="F204" s="401">
        <f t="shared" ref="F204:AL204" si="72">+IF(F8=0,0,IF(E230&lt;&gt;0,F230/E230-1,0))</f>
        <v>0.16413776243559997</v>
      </c>
      <c r="G204" s="401">
        <f t="shared" si="72"/>
        <v>8.8087993730597614E-2</v>
      </c>
      <c r="H204" s="402">
        <f t="shared" si="72"/>
        <v>-7.0049422551448082E-2</v>
      </c>
      <c r="I204" s="396">
        <f t="shared" si="72"/>
        <v>0.10503749284640573</v>
      </c>
      <c r="J204" s="397">
        <f t="shared" si="72"/>
        <v>3.8148921133178471E-2</v>
      </c>
      <c r="K204" s="397">
        <f t="shared" si="72"/>
        <v>5.2105230376955358E-2</v>
      </c>
      <c r="L204" s="397">
        <f t="shared" si="72"/>
        <v>4.3098623377485268E-2</v>
      </c>
      <c r="M204" s="397">
        <f t="shared" si="72"/>
        <v>4.2356113091634784E-2</v>
      </c>
      <c r="N204" s="397">
        <f t="shared" si="72"/>
        <v>4.7529806957212317E-2</v>
      </c>
      <c r="O204" s="397">
        <f t="shared" si="72"/>
        <v>4.0000000000000036E-2</v>
      </c>
      <c r="P204" s="397">
        <f t="shared" si="72"/>
        <v>4.0001586117457633E-2</v>
      </c>
      <c r="Q204" s="397">
        <f t="shared" si="72"/>
        <v>3.9996619127196986E-2</v>
      </c>
      <c r="R204" s="397">
        <f t="shared" si="72"/>
        <v>3.8442798068946571E-2</v>
      </c>
      <c r="S204" s="397">
        <f t="shared" si="72"/>
        <v>0</v>
      </c>
      <c r="T204" s="397">
        <f t="shared" si="72"/>
        <v>0</v>
      </c>
      <c r="U204" s="397">
        <f t="shared" si="72"/>
        <v>0</v>
      </c>
      <c r="V204" s="397">
        <f t="shared" si="72"/>
        <v>0</v>
      </c>
      <c r="W204" s="397">
        <f t="shared" si="72"/>
        <v>0</v>
      </c>
      <c r="X204" s="397">
        <f t="shared" si="72"/>
        <v>0</v>
      </c>
      <c r="Y204" s="397">
        <f t="shared" si="72"/>
        <v>0</v>
      </c>
      <c r="Z204" s="397">
        <f t="shared" si="72"/>
        <v>0</v>
      </c>
      <c r="AA204" s="397">
        <f t="shared" si="72"/>
        <v>0</v>
      </c>
      <c r="AB204" s="397">
        <f t="shared" si="72"/>
        <v>0</v>
      </c>
      <c r="AC204" s="397">
        <f t="shared" si="72"/>
        <v>0</v>
      </c>
      <c r="AD204" s="397">
        <f t="shared" si="72"/>
        <v>0</v>
      </c>
      <c r="AE204" s="397">
        <f t="shared" si="72"/>
        <v>0</v>
      </c>
      <c r="AF204" s="397">
        <f t="shared" si="72"/>
        <v>0</v>
      </c>
      <c r="AG204" s="397">
        <f t="shared" si="72"/>
        <v>0</v>
      </c>
      <c r="AH204" s="397">
        <f t="shared" si="72"/>
        <v>0</v>
      </c>
      <c r="AI204" s="397">
        <f t="shared" si="72"/>
        <v>0</v>
      </c>
      <c r="AJ204" s="397">
        <f t="shared" si="72"/>
        <v>0</v>
      </c>
      <c r="AK204" s="397">
        <f t="shared" si="72"/>
        <v>0</v>
      </c>
      <c r="AL204" s="398">
        <f t="shared" si="72"/>
        <v>0</v>
      </c>
      <c r="AM204" s="323"/>
    </row>
    <row r="205" spans="2:39" ht="15" hidden="1" outlineLevel="2">
      <c r="B205" s="390"/>
      <c r="C205" s="391"/>
      <c r="D205" s="399" t="s">
        <v>603</v>
      </c>
      <c r="E205" s="400" t="s">
        <v>600</v>
      </c>
      <c r="F205" s="401">
        <f t="shared" ref="F205:AL205" si="73">+IF(F8=0,0,IF(E231&lt;&gt;0,F231/E231-1,0))</f>
        <v>-0.65155643953033238</v>
      </c>
      <c r="G205" s="401">
        <f t="shared" si="73"/>
        <v>4.9617004521872143</v>
      </c>
      <c r="H205" s="402">
        <f t="shared" si="73"/>
        <v>-0.65909543605912124</v>
      </c>
      <c r="I205" s="396">
        <f t="shared" si="73"/>
        <v>0.94173349469441381</v>
      </c>
      <c r="J205" s="397">
        <f t="shared" si="73"/>
        <v>-0.2887129007232061</v>
      </c>
      <c r="K205" s="397">
        <f t="shared" si="73"/>
        <v>-0.29079285895805285</v>
      </c>
      <c r="L205" s="397">
        <f t="shared" si="73"/>
        <v>1.7436791630340842E-3</v>
      </c>
      <c r="M205" s="397">
        <f t="shared" si="73"/>
        <v>-0.71496953872932978</v>
      </c>
      <c r="N205" s="397">
        <f t="shared" si="73"/>
        <v>-0.79786259541984728</v>
      </c>
      <c r="O205" s="397">
        <f t="shared" si="73"/>
        <v>-0.39577039274924475</v>
      </c>
      <c r="P205" s="397">
        <f t="shared" si="73"/>
        <v>-0.5</v>
      </c>
      <c r="Q205" s="397">
        <f t="shared" si="73"/>
        <v>2.5</v>
      </c>
      <c r="R205" s="397">
        <f t="shared" si="73"/>
        <v>-0.5714285714285714</v>
      </c>
      <c r="S205" s="397">
        <f t="shared" si="73"/>
        <v>0</v>
      </c>
      <c r="T205" s="397">
        <f t="shared" si="73"/>
        <v>0</v>
      </c>
      <c r="U205" s="397">
        <f t="shared" si="73"/>
        <v>0</v>
      </c>
      <c r="V205" s="397">
        <f t="shared" si="73"/>
        <v>0</v>
      </c>
      <c r="W205" s="397">
        <f t="shared" si="73"/>
        <v>0</v>
      </c>
      <c r="X205" s="397">
        <f t="shared" si="73"/>
        <v>0</v>
      </c>
      <c r="Y205" s="397">
        <f t="shared" si="73"/>
        <v>0</v>
      </c>
      <c r="Z205" s="397">
        <f t="shared" si="73"/>
        <v>0</v>
      </c>
      <c r="AA205" s="397">
        <f t="shared" si="73"/>
        <v>0</v>
      </c>
      <c r="AB205" s="397">
        <f t="shared" si="73"/>
        <v>0</v>
      </c>
      <c r="AC205" s="397">
        <f t="shared" si="73"/>
        <v>0</v>
      </c>
      <c r="AD205" s="397">
        <f t="shared" si="73"/>
        <v>0</v>
      </c>
      <c r="AE205" s="397">
        <f t="shared" si="73"/>
        <v>0</v>
      </c>
      <c r="AF205" s="397">
        <f t="shared" si="73"/>
        <v>0</v>
      </c>
      <c r="AG205" s="397">
        <f t="shared" si="73"/>
        <v>0</v>
      </c>
      <c r="AH205" s="397">
        <f t="shared" si="73"/>
        <v>0</v>
      </c>
      <c r="AI205" s="397">
        <f t="shared" si="73"/>
        <v>0</v>
      </c>
      <c r="AJ205" s="397">
        <f t="shared" si="73"/>
        <v>0</v>
      </c>
      <c r="AK205" s="397">
        <f t="shared" si="73"/>
        <v>0</v>
      </c>
      <c r="AL205" s="398">
        <f t="shared" si="73"/>
        <v>0</v>
      </c>
      <c r="AM205" s="323"/>
    </row>
    <row r="206" spans="2:39" ht="24" hidden="1" outlineLevel="2">
      <c r="B206" s="390"/>
      <c r="C206" s="391"/>
      <c r="D206" s="399" t="s">
        <v>604</v>
      </c>
      <c r="E206" s="400" t="s">
        <v>600</v>
      </c>
      <c r="F206" s="401">
        <f t="shared" ref="F206:AL206" si="74">+IF(F8=0,0,IF(E232&lt;&gt;0,F232/E232-1,0))</f>
        <v>10.542979325731178</v>
      </c>
      <c r="G206" s="401">
        <f t="shared" si="74"/>
        <v>3.2844832535790456</v>
      </c>
      <c r="H206" s="402">
        <f t="shared" si="74"/>
        <v>-0.97187797833934997</v>
      </c>
      <c r="I206" s="396">
        <f t="shared" si="74"/>
        <v>13.515545970371425</v>
      </c>
      <c r="J206" s="397">
        <f t="shared" si="74"/>
        <v>-0.61564897783029049</v>
      </c>
      <c r="K206" s="397">
        <f t="shared" si="74"/>
        <v>-9.3415064036189821E-2</v>
      </c>
      <c r="L206" s="397">
        <f t="shared" si="74"/>
        <v>0.51776649746192893</v>
      </c>
      <c r="M206" s="397">
        <f t="shared" si="74"/>
        <v>-0.5735785953177257</v>
      </c>
      <c r="N206" s="397">
        <f t="shared" si="74"/>
        <v>-0.48078431372549024</v>
      </c>
      <c r="O206" s="397">
        <f t="shared" si="74"/>
        <v>-0.39577039274924475</v>
      </c>
      <c r="P206" s="397">
        <f t="shared" si="74"/>
        <v>-0.5</v>
      </c>
      <c r="Q206" s="397">
        <f t="shared" si="74"/>
        <v>2.5</v>
      </c>
      <c r="R206" s="397">
        <f t="shared" si="74"/>
        <v>-0.5714285714285714</v>
      </c>
      <c r="S206" s="397">
        <f t="shared" si="74"/>
        <v>0</v>
      </c>
      <c r="T206" s="397">
        <f t="shared" si="74"/>
        <v>0</v>
      </c>
      <c r="U206" s="397">
        <f t="shared" si="74"/>
        <v>0</v>
      </c>
      <c r="V206" s="397">
        <f t="shared" si="74"/>
        <v>0</v>
      </c>
      <c r="W206" s="397">
        <f t="shared" si="74"/>
        <v>0</v>
      </c>
      <c r="X206" s="397">
        <f t="shared" si="74"/>
        <v>0</v>
      </c>
      <c r="Y206" s="397">
        <f t="shared" si="74"/>
        <v>0</v>
      </c>
      <c r="Z206" s="397">
        <f t="shared" si="74"/>
        <v>0</v>
      </c>
      <c r="AA206" s="397">
        <f t="shared" si="74"/>
        <v>0</v>
      </c>
      <c r="AB206" s="397">
        <f t="shared" si="74"/>
        <v>0</v>
      </c>
      <c r="AC206" s="397">
        <f t="shared" si="74"/>
        <v>0</v>
      </c>
      <c r="AD206" s="397">
        <f t="shared" si="74"/>
        <v>0</v>
      </c>
      <c r="AE206" s="397">
        <f t="shared" si="74"/>
        <v>0</v>
      </c>
      <c r="AF206" s="397">
        <f t="shared" si="74"/>
        <v>0</v>
      </c>
      <c r="AG206" s="397">
        <f t="shared" si="74"/>
        <v>0</v>
      </c>
      <c r="AH206" s="397">
        <f t="shared" si="74"/>
        <v>0</v>
      </c>
      <c r="AI206" s="397">
        <f t="shared" si="74"/>
        <v>0</v>
      </c>
      <c r="AJ206" s="397">
        <f t="shared" si="74"/>
        <v>0</v>
      </c>
      <c r="AK206" s="397">
        <f t="shared" si="74"/>
        <v>0</v>
      </c>
      <c r="AL206" s="398">
        <f t="shared" si="74"/>
        <v>0</v>
      </c>
      <c r="AM206" s="323"/>
    </row>
    <row r="207" spans="2:39" ht="15" hidden="1" outlineLevel="2">
      <c r="B207" s="390"/>
      <c r="C207" s="391"/>
      <c r="D207" s="403" t="s">
        <v>605</v>
      </c>
      <c r="E207" s="404" t="s">
        <v>600</v>
      </c>
      <c r="F207" s="405">
        <f t="shared" ref="F207:AL207" si="75">+IF(F8=0,0,IF(E233&lt;&gt;0,F233/E233-1,0))</f>
        <v>-0.84441431801223288</v>
      </c>
      <c r="G207" s="405">
        <f t="shared" si="75"/>
        <v>7.1054245695383251</v>
      </c>
      <c r="H207" s="406">
        <f t="shared" si="75"/>
        <v>-0.44777340644009422</v>
      </c>
      <c r="I207" s="407">
        <f t="shared" si="75"/>
        <v>0.50912158800340568</v>
      </c>
      <c r="J207" s="408">
        <f t="shared" si="75"/>
        <v>-0.1805188252386154</v>
      </c>
      <c r="K207" s="408">
        <f t="shared" si="75"/>
        <v>-0.3214285714285714</v>
      </c>
      <c r="L207" s="408">
        <f t="shared" si="75"/>
        <v>-0.10526315789473684</v>
      </c>
      <c r="M207" s="408">
        <f t="shared" si="75"/>
        <v>-0.76470588235294112</v>
      </c>
      <c r="N207" s="408">
        <f t="shared" si="75"/>
        <v>-1</v>
      </c>
      <c r="O207" s="408">
        <f t="shared" si="75"/>
        <v>0</v>
      </c>
      <c r="P207" s="408">
        <f t="shared" si="75"/>
        <v>0</v>
      </c>
      <c r="Q207" s="408">
        <f t="shared" si="75"/>
        <v>0</v>
      </c>
      <c r="R207" s="408">
        <f t="shared" si="75"/>
        <v>0</v>
      </c>
      <c r="S207" s="408">
        <f t="shared" si="75"/>
        <v>0</v>
      </c>
      <c r="T207" s="408">
        <f t="shared" si="75"/>
        <v>0</v>
      </c>
      <c r="U207" s="408">
        <f t="shared" si="75"/>
        <v>0</v>
      </c>
      <c r="V207" s="408">
        <f t="shared" si="75"/>
        <v>0</v>
      </c>
      <c r="W207" s="408">
        <f t="shared" si="75"/>
        <v>0</v>
      </c>
      <c r="X207" s="408">
        <f t="shared" si="75"/>
        <v>0</v>
      </c>
      <c r="Y207" s="408">
        <f t="shared" si="75"/>
        <v>0</v>
      </c>
      <c r="Z207" s="408">
        <f t="shared" si="75"/>
        <v>0</v>
      </c>
      <c r="AA207" s="408">
        <f t="shared" si="75"/>
        <v>0</v>
      </c>
      <c r="AB207" s="408">
        <f t="shared" si="75"/>
        <v>0</v>
      </c>
      <c r="AC207" s="408">
        <f t="shared" si="75"/>
        <v>0</v>
      </c>
      <c r="AD207" s="408">
        <f t="shared" si="75"/>
        <v>0</v>
      </c>
      <c r="AE207" s="408">
        <f t="shared" si="75"/>
        <v>0</v>
      </c>
      <c r="AF207" s="408">
        <f t="shared" si="75"/>
        <v>0</v>
      </c>
      <c r="AG207" s="408">
        <f t="shared" si="75"/>
        <v>0</v>
      </c>
      <c r="AH207" s="408">
        <f t="shared" si="75"/>
        <v>0</v>
      </c>
      <c r="AI207" s="408">
        <f t="shared" si="75"/>
        <v>0</v>
      </c>
      <c r="AJ207" s="408">
        <f t="shared" si="75"/>
        <v>0</v>
      </c>
      <c r="AK207" s="408">
        <f t="shared" si="75"/>
        <v>0</v>
      </c>
      <c r="AL207" s="409">
        <f t="shared" si="75"/>
        <v>0</v>
      </c>
      <c r="AM207" s="323"/>
    </row>
    <row r="208" spans="2:39" hidden="1" outlineLevel="2">
      <c r="B208" s="380"/>
      <c r="C208" s="381"/>
      <c r="D208" s="382" t="s">
        <v>230</v>
      </c>
      <c r="E208" s="383" t="s">
        <v>600</v>
      </c>
      <c r="F208" s="384">
        <f t="shared" ref="F208:AL208" si="76">+IF(F8=0,0,IF(E234&lt;&gt;0,F234/E234-1,0))</f>
        <v>0.30162298725766168</v>
      </c>
      <c r="G208" s="384">
        <f t="shared" si="76"/>
        <v>-3.0589327161878566E-2</v>
      </c>
      <c r="H208" s="385">
        <f t="shared" si="76"/>
        <v>-0.16444531256376682</v>
      </c>
      <c r="I208" s="386">
        <f t="shared" si="76"/>
        <v>5.7722759028051573E-2</v>
      </c>
      <c r="J208" s="387">
        <f t="shared" si="76"/>
        <v>-7.1640616122722767E-2</v>
      </c>
      <c r="K208" s="387">
        <f t="shared" si="76"/>
        <v>3.1930775136939094E-2</v>
      </c>
      <c r="L208" s="387">
        <f t="shared" si="76"/>
        <v>6.5441288736681535E-2</v>
      </c>
      <c r="M208" s="387">
        <f t="shared" si="76"/>
        <v>8.6337443060413577E-3</v>
      </c>
      <c r="N208" s="387">
        <f t="shared" si="76"/>
        <v>5.0291728529173962E-2</v>
      </c>
      <c r="O208" s="387">
        <f t="shared" si="76"/>
        <v>3.0214414032159631E-2</v>
      </c>
      <c r="P208" s="387">
        <f t="shared" si="76"/>
        <v>0.14196152452104727</v>
      </c>
      <c r="Q208" s="387">
        <f t="shared" si="76"/>
        <v>0.12605875157404034</v>
      </c>
      <c r="R208" s="387">
        <f t="shared" si="76"/>
        <v>5.0298591904177403E-2</v>
      </c>
      <c r="S208" s="387">
        <f t="shared" si="76"/>
        <v>0</v>
      </c>
      <c r="T208" s="387">
        <f t="shared" si="76"/>
        <v>0</v>
      </c>
      <c r="U208" s="387">
        <f t="shared" si="76"/>
        <v>0</v>
      </c>
      <c r="V208" s="387">
        <f t="shared" si="76"/>
        <v>0</v>
      </c>
      <c r="W208" s="387">
        <f t="shared" si="76"/>
        <v>0</v>
      </c>
      <c r="X208" s="387">
        <f t="shared" si="76"/>
        <v>0</v>
      </c>
      <c r="Y208" s="387">
        <f t="shared" si="76"/>
        <v>0</v>
      </c>
      <c r="Z208" s="387">
        <f t="shared" si="76"/>
        <v>0</v>
      </c>
      <c r="AA208" s="387">
        <f t="shared" si="76"/>
        <v>0</v>
      </c>
      <c r="AB208" s="387">
        <f t="shared" si="76"/>
        <v>0</v>
      </c>
      <c r="AC208" s="387">
        <f t="shared" si="76"/>
        <v>0</v>
      </c>
      <c r="AD208" s="387">
        <f t="shared" si="76"/>
        <v>0</v>
      </c>
      <c r="AE208" s="387">
        <f t="shared" si="76"/>
        <v>0</v>
      </c>
      <c r="AF208" s="387">
        <f t="shared" si="76"/>
        <v>0</v>
      </c>
      <c r="AG208" s="387">
        <f t="shared" si="76"/>
        <v>0</v>
      </c>
      <c r="AH208" s="387">
        <f t="shared" si="76"/>
        <v>0</v>
      </c>
      <c r="AI208" s="387">
        <f t="shared" si="76"/>
        <v>0</v>
      </c>
      <c r="AJ208" s="387">
        <f t="shared" si="76"/>
        <v>0</v>
      </c>
      <c r="AK208" s="387">
        <f t="shared" si="76"/>
        <v>0</v>
      </c>
      <c r="AL208" s="388">
        <f t="shared" si="76"/>
        <v>0</v>
      </c>
      <c r="AM208" s="389"/>
    </row>
    <row r="209" spans="2:39" ht="24" hidden="1" outlineLevel="2">
      <c r="B209" s="390"/>
      <c r="C209" s="391"/>
      <c r="D209" s="410" t="s">
        <v>606</v>
      </c>
      <c r="E209" s="400" t="s">
        <v>600</v>
      </c>
      <c r="F209" s="401">
        <f t="shared" ref="F209:AL209" si="77">+IF(F8=0,0,IF(E235&lt;&gt;0,F235/E235-1,0))</f>
        <v>-0.10610250115341913</v>
      </c>
      <c r="G209" s="401">
        <f t="shared" si="77"/>
        <v>0.27393838825864458</v>
      </c>
      <c r="H209" s="402">
        <f t="shared" si="77"/>
        <v>-0.16790215215341753</v>
      </c>
      <c r="I209" s="396">
        <f t="shared" si="77"/>
        <v>7.2498089968579427E-2</v>
      </c>
      <c r="J209" s="397">
        <f t="shared" si="77"/>
        <v>-1.5580107975611268E-3</v>
      </c>
      <c r="K209" s="397">
        <f t="shared" si="77"/>
        <v>1.9463809511130137E-2</v>
      </c>
      <c r="L209" s="397">
        <f t="shared" si="77"/>
        <v>2.2723960052209558E-2</v>
      </c>
      <c r="M209" s="397">
        <f t="shared" si="77"/>
        <v>-4.5354756945857888E-3</v>
      </c>
      <c r="N209" s="397">
        <f t="shared" si="77"/>
        <v>2.6454093935667666E-2</v>
      </c>
      <c r="O209" s="397">
        <f t="shared" si="77"/>
        <v>6.3064820923668607E-2</v>
      </c>
      <c r="P209" s="397">
        <f t="shared" si="77"/>
        <v>1.8135810643013839E-2</v>
      </c>
      <c r="Q209" s="397">
        <f t="shared" si="77"/>
        <v>-7.4358859670511368E-3</v>
      </c>
      <c r="R209" s="397">
        <f t="shared" si="77"/>
        <v>3.941960296322411E-2</v>
      </c>
      <c r="S209" s="397">
        <f t="shared" si="77"/>
        <v>0</v>
      </c>
      <c r="T209" s="397">
        <f t="shared" si="77"/>
        <v>0</v>
      </c>
      <c r="U209" s="397">
        <f t="shared" si="77"/>
        <v>0</v>
      </c>
      <c r="V209" s="397">
        <f t="shared" si="77"/>
        <v>0</v>
      </c>
      <c r="W209" s="397">
        <f t="shared" si="77"/>
        <v>0</v>
      </c>
      <c r="X209" s="397">
        <f t="shared" si="77"/>
        <v>0</v>
      </c>
      <c r="Y209" s="397">
        <f t="shared" si="77"/>
        <v>0</v>
      </c>
      <c r="Z209" s="397">
        <f t="shared" si="77"/>
        <v>0</v>
      </c>
      <c r="AA209" s="397">
        <f t="shared" si="77"/>
        <v>0</v>
      </c>
      <c r="AB209" s="397">
        <f t="shared" si="77"/>
        <v>0</v>
      </c>
      <c r="AC209" s="397">
        <f t="shared" si="77"/>
        <v>0</v>
      </c>
      <c r="AD209" s="397">
        <f t="shared" si="77"/>
        <v>0</v>
      </c>
      <c r="AE209" s="397">
        <f t="shared" si="77"/>
        <v>0</v>
      </c>
      <c r="AF209" s="397">
        <f t="shared" si="77"/>
        <v>0</v>
      </c>
      <c r="AG209" s="397">
        <f t="shared" si="77"/>
        <v>0</v>
      </c>
      <c r="AH209" s="397">
        <f t="shared" si="77"/>
        <v>0</v>
      </c>
      <c r="AI209" s="397">
        <f t="shared" si="77"/>
        <v>0</v>
      </c>
      <c r="AJ209" s="397">
        <f t="shared" si="77"/>
        <v>0</v>
      </c>
      <c r="AK209" s="397">
        <f t="shared" si="77"/>
        <v>0</v>
      </c>
      <c r="AL209" s="398">
        <f t="shared" si="77"/>
        <v>0</v>
      </c>
      <c r="AM209" s="323"/>
    </row>
    <row r="210" spans="2:39" hidden="1" outlineLevel="2">
      <c r="B210" s="380"/>
      <c r="C210" s="381"/>
      <c r="D210" s="411" t="s">
        <v>607</v>
      </c>
      <c r="E210" s="412" t="s">
        <v>600</v>
      </c>
      <c r="F210" s="413">
        <f t="shared" ref="F210:AL210" si="78">+IF(F8=0,0,IF(E236&lt;&gt;0,F236/E236-1,0))</f>
        <v>0.18218539251467902</v>
      </c>
      <c r="G210" s="413">
        <f t="shared" si="78"/>
        <v>0.15278610494308342</v>
      </c>
      <c r="H210" s="414">
        <f t="shared" si="78"/>
        <v>-0.11381385258528087</v>
      </c>
      <c r="I210" s="415">
        <f t="shared" si="78"/>
        <v>5.6366008288210923E-2</v>
      </c>
      <c r="J210" s="416">
        <f t="shared" si="78"/>
        <v>3.5657941363220313E-2</v>
      </c>
      <c r="K210" s="416">
        <f t="shared" si="78"/>
        <v>1.9999285768317554E-2</v>
      </c>
      <c r="L210" s="416">
        <f t="shared" si="78"/>
        <v>2.1906666144665188E-2</v>
      </c>
      <c r="M210" s="416">
        <f t="shared" si="78"/>
        <v>2.3000791009473831E-2</v>
      </c>
      <c r="N210" s="416">
        <f t="shared" si="78"/>
        <v>2.0000160497757102E-2</v>
      </c>
      <c r="O210" s="416">
        <f t="shared" si="78"/>
        <v>1.9532469058292756E-2</v>
      </c>
      <c r="P210" s="416">
        <f t="shared" si="78"/>
        <v>1.9999907398309258E-2</v>
      </c>
      <c r="Q210" s="416">
        <f t="shared" si="78"/>
        <v>2.0000000000000018E-2</v>
      </c>
      <c r="R210" s="416">
        <f t="shared" si="78"/>
        <v>2.0002238002961636E-2</v>
      </c>
      <c r="S210" s="416">
        <f t="shared" si="78"/>
        <v>0</v>
      </c>
      <c r="T210" s="416">
        <f t="shared" si="78"/>
        <v>0</v>
      </c>
      <c r="U210" s="416">
        <f t="shared" si="78"/>
        <v>0</v>
      </c>
      <c r="V210" s="416">
        <f t="shared" si="78"/>
        <v>0</v>
      </c>
      <c r="W210" s="416">
        <f t="shared" si="78"/>
        <v>0</v>
      </c>
      <c r="X210" s="416">
        <f t="shared" si="78"/>
        <v>0</v>
      </c>
      <c r="Y210" s="416">
        <f t="shared" si="78"/>
        <v>0</v>
      </c>
      <c r="Z210" s="416">
        <f t="shared" si="78"/>
        <v>0</v>
      </c>
      <c r="AA210" s="416">
        <f t="shared" si="78"/>
        <v>0</v>
      </c>
      <c r="AB210" s="416">
        <f t="shared" si="78"/>
        <v>0</v>
      </c>
      <c r="AC210" s="416">
        <f t="shared" si="78"/>
        <v>0</v>
      </c>
      <c r="AD210" s="416">
        <f t="shared" si="78"/>
        <v>0</v>
      </c>
      <c r="AE210" s="416">
        <f t="shared" si="78"/>
        <v>0</v>
      </c>
      <c r="AF210" s="416">
        <f t="shared" si="78"/>
        <v>0</v>
      </c>
      <c r="AG210" s="416">
        <f t="shared" si="78"/>
        <v>0</v>
      </c>
      <c r="AH210" s="416">
        <f t="shared" si="78"/>
        <v>0</v>
      </c>
      <c r="AI210" s="416">
        <f t="shared" si="78"/>
        <v>0</v>
      </c>
      <c r="AJ210" s="416">
        <f t="shared" si="78"/>
        <v>0</v>
      </c>
      <c r="AK210" s="416">
        <f t="shared" si="78"/>
        <v>0</v>
      </c>
      <c r="AL210" s="417">
        <f t="shared" si="78"/>
        <v>0</v>
      </c>
      <c r="AM210" s="389"/>
    </row>
    <row r="211" spans="2:39" ht="24" hidden="1" outlineLevel="2">
      <c r="B211" s="390"/>
      <c r="C211" s="391"/>
      <c r="D211" s="399" t="s">
        <v>608</v>
      </c>
      <c r="E211" s="400" t="s">
        <v>600</v>
      </c>
      <c r="F211" s="401">
        <f t="shared" ref="F211:AL211" si="79">+IF(F8=0,0,IF(E237&lt;&gt;0,F237/E237-1,0))</f>
        <v>0.12402664047368384</v>
      </c>
      <c r="G211" s="401">
        <f t="shared" si="79"/>
        <v>0.17013112122150065</v>
      </c>
      <c r="H211" s="402">
        <f t="shared" si="79"/>
        <v>-0.11785833327304074</v>
      </c>
      <c r="I211" s="396">
        <f t="shared" si="79"/>
        <v>5.8358826116905016E-2</v>
      </c>
      <c r="J211" s="397">
        <f t="shared" si="79"/>
        <v>5.835879809997091E-2</v>
      </c>
      <c r="K211" s="397">
        <f t="shared" si="79"/>
        <v>3.0610283634593838E-2</v>
      </c>
      <c r="L211" s="397">
        <f t="shared" si="79"/>
        <v>2.2042273732547635E-2</v>
      </c>
      <c r="M211" s="397">
        <f t="shared" si="79"/>
        <v>2.5893163863580426E-2</v>
      </c>
      <c r="N211" s="397">
        <f t="shared" si="79"/>
        <v>2.0064566857290078E-2</v>
      </c>
      <c r="O211" s="397">
        <f t="shared" si="79"/>
        <v>2.2751081386679362E-2</v>
      </c>
      <c r="P211" s="397">
        <f t="shared" si="79"/>
        <v>1.9999907398309258E-2</v>
      </c>
      <c r="Q211" s="397">
        <f t="shared" si="79"/>
        <v>2.0000000000000018E-2</v>
      </c>
      <c r="R211" s="397">
        <f t="shared" si="79"/>
        <v>2.0002238002961636E-2</v>
      </c>
      <c r="S211" s="397">
        <f t="shared" si="79"/>
        <v>0</v>
      </c>
      <c r="T211" s="397">
        <f t="shared" si="79"/>
        <v>0</v>
      </c>
      <c r="U211" s="397">
        <f t="shared" si="79"/>
        <v>0</v>
      </c>
      <c r="V211" s="397">
        <f t="shared" si="79"/>
        <v>0</v>
      </c>
      <c r="W211" s="397">
        <f t="shared" si="79"/>
        <v>0</v>
      </c>
      <c r="X211" s="397">
        <f t="shared" si="79"/>
        <v>0</v>
      </c>
      <c r="Y211" s="397">
        <f t="shared" si="79"/>
        <v>0</v>
      </c>
      <c r="Z211" s="397">
        <f t="shared" si="79"/>
        <v>0</v>
      </c>
      <c r="AA211" s="397">
        <f t="shared" si="79"/>
        <v>0</v>
      </c>
      <c r="AB211" s="397">
        <f t="shared" si="79"/>
        <v>0</v>
      </c>
      <c r="AC211" s="397">
        <f t="shared" si="79"/>
        <v>0</v>
      </c>
      <c r="AD211" s="397">
        <f t="shared" si="79"/>
        <v>0</v>
      </c>
      <c r="AE211" s="397">
        <f t="shared" si="79"/>
        <v>0</v>
      </c>
      <c r="AF211" s="397">
        <f t="shared" si="79"/>
        <v>0</v>
      </c>
      <c r="AG211" s="397">
        <f t="shared" si="79"/>
        <v>0</v>
      </c>
      <c r="AH211" s="397">
        <f t="shared" si="79"/>
        <v>0</v>
      </c>
      <c r="AI211" s="397">
        <f t="shared" si="79"/>
        <v>0</v>
      </c>
      <c r="AJ211" s="397">
        <f t="shared" si="79"/>
        <v>0</v>
      </c>
      <c r="AK211" s="397">
        <f t="shared" si="79"/>
        <v>0</v>
      </c>
      <c r="AL211" s="398">
        <f t="shared" si="79"/>
        <v>0</v>
      </c>
      <c r="AM211" s="323"/>
    </row>
    <row r="212" spans="2:39" ht="15" hidden="1" outlineLevel="2">
      <c r="B212" s="390"/>
      <c r="C212" s="391"/>
      <c r="D212" s="399" t="s">
        <v>609</v>
      </c>
      <c r="E212" s="400" t="s">
        <v>600</v>
      </c>
      <c r="F212" s="401">
        <f t="shared" ref="F212:AL212" si="80">+IF(F8=0,0,IF(E238&lt;&gt;0,F238/E238-1,0))</f>
        <v>0.10624900546009441</v>
      </c>
      <c r="G212" s="401">
        <f t="shared" si="80"/>
        <v>6.2284807070449366E-2</v>
      </c>
      <c r="H212" s="402">
        <f t="shared" si="80"/>
        <v>-4.2975623834843324E-2</v>
      </c>
      <c r="I212" s="396">
        <f t="shared" si="80"/>
        <v>-1.3964607863581335E-4</v>
      </c>
      <c r="J212" s="397">
        <f t="shared" si="80"/>
        <v>2.484531353729369E-2</v>
      </c>
      <c r="K212" s="397">
        <f t="shared" si="80"/>
        <v>2.0000073683008379E-2</v>
      </c>
      <c r="L212" s="397">
        <f t="shared" si="80"/>
        <v>2.0001034451571531E-2</v>
      </c>
      <c r="M212" s="397">
        <f t="shared" si="80"/>
        <v>-1</v>
      </c>
      <c r="N212" s="397">
        <f t="shared" si="80"/>
        <v>0</v>
      </c>
      <c r="O212" s="397">
        <f t="shared" si="80"/>
        <v>0</v>
      </c>
      <c r="P212" s="397">
        <f t="shared" si="80"/>
        <v>0</v>
      </c>
      <c r="Q212" s="397">
        <f t="shared" si="80"/>
        <v>0</v>
      </c>
      <c r="R212" s="397">
        <f t="shared" si="80"/>
        <v>0</v>
      </c>
      <c r="S212" s="397">
        <f t="shared" si="80"/>
        <v>0</v>
      </c>
      <c r="T212" s="397">
        <f t="shared" si="80"/>
        <v>0</v>
      </c>
      <c r="U212" s="397">
        <f t="shared" si="80"/>
        <v>0</v>
      </c>
      <c r="V212" s="397">
        <f t="shared" si="80"/>
        <v>0</v>
      </c>
      <c r="W212" s="397">
        <f t="shared" si="80"/>
        <v>0</v>
      </c>
      <c r="X212" s="397">
        <f t="shared" si="80"/>
        <v>0</v>
      </c>
      <c r="Y212" s="397">
        <f t="shared" si="80"/>
        <v>0</v>
      </c>
      <c r="Z212" s="397">
        <f t="shared" si="80"/>
        <v>0</v>
      </c>
      <c r="AA212" s="397">
        <f t="shared" si="80"/>
        <v>0</v>
      </c>
      <c r="AB212" s="397">
        <f t="shared" si="80"/>
        <v>0</v>
      </c>
      <c r="AC212" s="397">
        <f t="shared" si="80"/>
        <v>0</v>
      </c>
      <c r="AD212" s="397">
        <f t="shared" si="80"/>
        <v>0</v>
      </c>
      <c r="AE212" s="397">
        <f t="shared" si="80"/>
        <v>0</v>
      </c>
      <c r="AF212" s="397">
        <f t="shared" si="80"/>
        <v>0</v>
      </c>
      <c r="AG212" s="397">
        <f t="shared" si="80"/>
        <v>0</v>
      </c>
      <c r="AH212" s="397">
        <f t="shared" si="80"/>
        <v>0</v>
      </c>
      <c r="AI212" s="397">
        <f t="shared" si="80"/>
        <v>0</v>
      </c>
      <c r="AJ212" s="397">
        <f t="shared" si="80"/>
        <v>0</v>
      </c>
      <c r="AK212" s="397">
        <f t="shared" si="80"/>
        <v>0</v>
      </c>
      <c r="AL212" s="398">
        <f t="shared" si="80"/>
        <v>0</v>
      </c>
      <c r="AM212" s="323"/>
    </row>
    <row r="213" spans="2:39" ht="48" hidden="1" outlineLevel="2">
      <c r="B213" s="390"/>
      <c r="C213" s="391"/>
      <c r="D213" s="403" t="s">
        <v>610</v>
      </c>
      <c r="E213" s="418" t="s">
        <v>600</v>
      </c>
      <c r="F213" s="419">
        <f t="shared" ref="F213:AL213" si="81">+IF(F8=0,0,IF(E239&lt;&gt;0,F239/E239-1,0))</f>
        <v>-0.20262333440815639</v>
      </c>
      <c r="G213" s="419">
        <f t="shared" si="81"/>
        <v>0.31915944005967578</v>
      </c>
      <c r="H213" s="420">
        <f t="shared" si="81"/>
        <v>-0.19027938083695328</v>
      </c>
      <c r="I213" s="421">
        <f t="shared" si="81"/>
        <v>0.13152151962091985</v>
      </c>
      <c r="J213" s="422">
        <f t="shared" si="81"/>
        <v>7.357285990775364E-2</v>
      </c>
      <c r="K213" s="422">
        <f t="shared" si="81"/>
        <v>3.7901771247678351E-2</v>
      </c>
      <c r="L213" s="422">
        <f t="shared" si="81"/>
        <v>4.07878342861554E-2</v>
      </c>
      <c r="M213" s="422">
        <f t="shared" si="81"/>
        <v>1.452453341086128</v>
      </c>
      <c r="N213" s="422">
        <f t="shared" si="81"/>
        <v>2.7225399137585038E-2</v>
      </c>
      <c r="O213" s="422">
        <f t="shared" si="81"/>
        <v>2.5804421283563972E-2</v>
      </c>
      <c r="P213" s="422">
        <f t="shared" si="81"/>
        <v>2.572206608251304E-2</v>
      </c>
      <c r="Q213" s="422">
        <f t="shared" si="81"/>
        <v>2.2440657650990126E-2</v>
      </c>
      <c r="R213" s="422">
        <f t="shared" si="81"/>
        <v>2.0342940292201295E-2</v>
      </c>
      <c r="S213" s="422">
        <f t="shared" si="81"/>
        <v>0</v>
      </c>
      <c r="T213" s="422">
        <f t="shared" si="81"/>
        <v>0</v>
      </c>
      <c r="U213" s="422">
        <f t="shared" si="81"/>
        <v>0</v>
      </c>
      <c r="V213" s="422">
        <f t="shared" si="81"/>
        <v>0</v>
      </c>
      <c r="W213" s="422">
        <f t="shared" si="81"/>
        <v>0</v>
      </c>
      <c r="X213" s="422">
        <f t="shared" si="81"/>
        <v>0</v>
      </c>
      <c r="Y213" s="422">
        <f t="shared" si="81"/>
        <v>0</v>
      </c>
      <c r="Z213" s="422">
        <f t="shared" si="81"/>
        <v>0</v>
      </c>
      <c r="AA213" s="422">
        <f t="shared" si="81"/>
        <v>0</v>
      </c>
      <c r="AB213" s="422">
        <f t="shared" si="81"/>
        <v>0</v>
      </c>
      <c r="AC213" s="422">
        <f t="shared" si="81"/>
        <v>0</v>
      </c>
      <c r="AD213" s="422">
        <f t="shared" si="81"/>
        <v>0</v>
      </c>
      <c r="AE213" s="422">
        <f t="shared" si="81"/>
        <v>0</v>
      </c>
      <c r="AF213" s="422">
        <f t="shared" si="81"/>
        <v>0</v>
      </c>
      <c r="AG213" s="422">
        <f t="shared" si="81"/>
        <v>0</v>
      </c>
      <c r="AH213" s="422">
        <f t="shared" si="81"/>
        <v>0</v>
      </c>
      <c r="AI213" s="422">
        <f t="shared" si="81"/>
        <v>0</v>
      </c>
      <c r="AJ213" s="422">
        <f t="shared" si="81"/>
        <v>0</v>
      </c>
      <c r="AK213" s="422">
        <f t="shared" si="81"/>
        <v>0</v>
      </c>
      <c r="AL213" s="423">
        <f t="shared" si="81"/>
        <v>0</v>
      </c>
      <c r="AM213" s="323"/>
    </row>
    <row r="214" spans="2:39" ht="228" hidden="1" outlineLevel="1">
      <c r="B214" s="390"/>
      <c r="C214" s="391"/>
      <c r="D214" s="353" t="s">
        <v>611</v>
      </c>
      <c r="E214" s="424"/>
      <c r="F214" s="424"/>
      <c r="G214" s="425" t="s">
        <v>612</v>
      </c>
      <c r="H214" s="425" t="s">
        <v>613</v>
      </c>
      <c r="I214" s="426"/>
      <c r="J214" s="426"/>
      <c r="K214" s="426"/>
      <c r="L214" s="426"/>
      <c r="M214" s="426"/>
      <c r="N214" s="426"/>
      <c r="O214" s="426"/>
      <c r="P214" s="426"/>
      <c r="Q214" s="426"/>
      <c r="R214" s="426"/>
      <c r="S214" s="426"/>
      <c r="T214" s="426"/>
      <c r="U214" s="426"/>
      <c r="V214" s="426"/>
      <c r="W214" s="426"/>
      <c r="X214" s="426"/>
      <c r="Y214" s="426"/>
      <c r="Z214" s="426"/>
      <c r="AA214" s="426"/>
      <c r="AB214" s="426"/>
      <c r="AC214" s="426"/>
      <c r="AD214" s="426"/>
      <c r="AE214" s="426"/>
      <c r="AF214" s="426"/>
      <c r="AG214" s="426"/>
      <c r="AH214" s="426"/>
      <c r="AI214" s="426"/>
      <c r="AJ214" s="426"/>
      <c r="AK214" s="426"/>
      <c r="AL214" s="426"/>
      <c r="AM214" s="323"/>
    </row>
    <row r="215" spans="2:39" hidden="1" outlineLevel="2">
      <c r="B215" s="380"/>
      <c r="C215" s="381"/>
      <c r="D215" s="382" t="s">
        <v>205</v>
      </c>
      <c r="E215" s="427" t="s">
        <v>600</v>
      </c>
      <c r="F215" s="428">
        <f t="shared" ref="F215:AL220" si="82">+IF(F$228=0,"",F228-E228)</f>
        <v>1510414.0799999982</v>
      </c>
      <c r="G215" s="428">
        <f t="shared" si="82"/>
        <v>3893878.5199999996</v>
      </c>
      <c r="H215" s="429">
        <f t="shared" si="82"/>
        <v>-3954150.4799999967</v>
      </c>
      <c r="I215" s="430">
        <f t="shared" si="82"/>
        <v>2647772.5999999978</v>
      </c>
      <c r="J215" s="431">
        <f t="shared" si="82"/>
        <v>-1413280.2699999996</v>
      </c>
      <c r="K215" s="431">
        <f t="shared" si="82"/>
        <v>621563</v>
      </c>
      <c r="L215" s="431">
        <f t="shared" si="82"/>
        <v>1314553</v>
      </c>
      <c r="M215" s="431">
        <f t="shared" si="82"/>
        <v>184780</v>
      </c>
      <c r="N215" s="431">
        <f t="shared" si="82"/>
        <v>1085640</v>
      </c>
      <c r="O215" s="431">
        <f t="shared" si="82"/>
        <v>645036</v>
      </c>
      <c r="P215" s="431">
        <f t="shared" si="82"/>
        <v>2412476</v>
      </c>
      <c r="Q215" s="431">
        <f t="shared" si="82"/>
        <v>2711251</v>
      </c>
      <c r="R215" s="431">
        <f t="shared" si="82"/>
        <v>1510840.4200000018</v>
      </c>
      <c r="S215" s="431" t="str">
        <f t="shared" si="82"/>
        <v/>
      </c>
      <c r="T215" s="431" t="str">
        <f t="shared" si="82"/>
        <v/>
      </c>
      <c r="U215" s="431" t="str">
        <f t="shared" si="82"/>
        <v/>
      </c>
      <c r="V215" s="431" t="str">
        <f t="shared" si="82"/>
        <v/>
      </c>
      <c r="W215" s="431" t="str">
        <f t="shared" si="82"/>
        <v/>
      </c>
      <c r="X215" s="431" t="str">
        <f t="shared" si="82"/>
        <v/>
      </c>
      <c r="Y215" s="431" t="str">
        <f t="shared" si="82"/>
        <v/>
      </c>
      <c r="Z215" s="431" t="str">
        <f t="shared" si="82"/>
        <v/>
      </c>
      <c r="AA215" s="431" t="str">
        <f t="shared" si="82"/>
        <v/>
      </c>
      <c r="AB215" s="431" t="str">
        <f t="shared" si="82"/>
        <v/>
      </c>
      <c r="AC215" s="431" t="str">
        <f t="shared" si="82"/>
        <v/>
      </c>
      <c r="AD215" s="431" t="str">
        <f t="shared" si="82"/>
        <v/>
      </c>
      <c r="AE215" s="431" t="str">
        <f t="shared" si="82"/>
        <v/>
      </c>
      <c r="AF215" s="431" t="str">
        <f t="shared" si="82"/>
        <v/>
      </c>
      <c r="AG215" s="431" t="str">
        <f t="shared" si="82"/>
        <v/>
      </c>
      <c r="AH215" s="431" t="str">
        <f t="shared" si="82"/>
        <v/>
      </c>
      <c r="AI215" s="431" t="str">
        <f t="shared" si="82"/>
        <v/>
      </c>
      <c r="AJ215" s="431" t="str">
        <f t="shared" si="82"/>
        <v/>
      </c>
      <c r="AK215" s="431" t="str">
        <f t="shared" si="82"/>
        <v/>
      </c>
      <c r="AL215" s="432" t="str">
        <f t="shared" si="82"/>
        <v/>
      </c>
      <c r="AM215" s="389"/>
    </row>
    <row r="216" spans="2:39" ht="15" hidden="1" outlineLevel="2">
      <c r="B216" s="390"/>
      <c r="C216" s="391"/>
      <c r="D216" s="392" t="s">
        <v>601</v>
      </c>
      <c r="E216" s="433" t="s">
        <v>600</v>
      </c>
      <c r="F216" s="434">
        <f t="shared" si="82"/>
        <v>1292046.6600000001</v>
      </c>
      <c r="G216" s="434">
        <f t="shared" si="82"/>
        <v>4339123.3999999985</v>
      </c>
      <c r="H216" s="435">
        <f t="shared" si="82"/>
        <v>-3544855.5799999945</v>
      </c>
      <c r="I216" s="436">
        <f t="shared" si="82"/>
        <v>2888880.1599999964</v>
      </c>
      <c r="J216" s="437">
        <f t="shared" si="82"/>
        <v>60377.730000000447</v>
      </c>
      <c r="K216" s="437">
        <f t="shared" si="82"/>
        <v>546143</v>
      </c>
      <c r="L216" s="437">
        <f t="shared" si="82"/>
        <v>886553</v>
      </c>
      <c r="M216" s="437">
        <f t="shared" si="82"/>
        <v>85280</v>
      </c>
      <c r="N216" s="437">
        <f t="shared" si="82"/>
        <v>799340</v>
      </c>
      <c r="O216" s="437">
        <f t="shared" si="82"/>
        <v>908836</v>
      </c>
      <c r="P216" s="437">
        <f t="shared" si="82"/>
        <v>952476</v>
      </c>
      <c r="Q216" s="437">
        <f t="shared" si="82"/>
        <v>1061251</v>
      </c>
      <c r="R216" s="437">
        <f t="shared" si="82"/>
        <v>970840.42000000179</v>
      </c>
      <c r="S216" s="437" t="str">
        <f t="shared" si="82"/>
        <v/>
      </c>
      <c r="T216" s="437" t="str">
        <f t="shared" si="82"/>
        <v/>
      </c>
      <c r="U216" s="437" t="str">
        <f t="shared" si="82"/>
        <v/>
      </c>
      <c r="V216" s="437" t="str">
        <f t="shared" si="82"/>
        <v/>
      </c>
      <c r="W216" s="437" t="str">
        <f t="shared" si="82"/>
        <v/>
      </c>
      <c r="X216" s="437" t="str">
        <f t="shared" si="82"/>
        <v/>
      </c>
      <c r="Y216" s="437" t="str">
        <f t="shared" si="82"/>
        <v/>
      </c>
      <c r="Z216" s="437" t="str">
        <f t="shared" si="82"/>
        <v/>
      </c>
      <c r="AA216" s="437" t="str">
        <f t="shared" si="82"/>
        <v/>
      </c>
      <c r="AB216" s="437" t="str">
        <f t="shared" si="82"/>
        <v/>
      </c>
      <c r="AC216" s="437" t="str">
        <f t="shared" si="82"/>
        <v/>
      </c>
      <c r="AD216" s="437" t="str">
        <f t="shared" si="82"/>
        <v/>
      </c>
      <c r="AE216" s="437" t="str">
        <f t="shared" si="82"/>
        <v/>
      </c>
      <c r="AF216" s="437" t="str">
        <f t="shared" si="82"/>
        <v/>
      </c>
      <c r="AG216" s="437" t="str">
        <f t="shared" si="82"/>
        <v/>
      </c>
      <c r="AH216" s="437" t="str">
        <f t="shared" si="82"/>
        <v/>
      </c>
      <c r="AI216" s="437" t="str">
        <f t="shared" si="82"/>
        <v/>
      </c>
      <c r="AJ216" s="437" t="str">
        <f t="shared" si="82"/>
        <v/>
      </c>
      <c r="AK216" s="437" t="str">
        <f t="shared" si="82"/>
        <v/>
      </c>
      <c r="AL216" s="438" t="str">
        <f t="shared" si="82"/>
        <v/>
      </c>
      <c r="AM216" s="323"/>
    </row>
    <row r="217" spans="2:39" ht="15" hidden="1" outlineLevel="2">
      <c r="B217" s="390"/>
      <c r="C217" s="391"/>
      <c r="D217" s="399" t="s">
        <v>602</v>
      </c>
      <c r="E217" s="439" t="s">
        <v>600</v>
      </c>
      <c r="F217" s="440">
        <f t="shared" si="82"/>
        <v>2369435.3100000005</v>
      </c>
      <c r="G217" s="440">
        <f t="shared" si="82"/>
        <v>1480326.2599999979</v>
      </c>
      <c r="H217" s="441">
        <f t="shared" si="82"/>
        <v>-1280882.5299999975</v>
      </c>
      <c r="I217" s="436">
        <f t="shared" si="82"/>
        <v>1786113.1099999994</v>
      </c>
      <c r="J217" s="437">
        <f t="shared" si="82"/>
        <v>716842.73000000045</v>
      </c>
      <c r="K217" s="437">
        <f t="shared" si="82"/>
        <v>1016442</v>
      </c>
      <c r="L217" s="437">
        <f t="shared" si="82"/>
        <v>884553</v>
      </c>
      <c r="M217" s="437">
        <f t="shared" si="82"/>
        <v>906780</v>
      </c>
      <c r="N217" s="437">
        <f t="shared" si="82"/>
        <v>1060640</v>
      </c>
      <c r="O217" s="437">
        <f t="shared" si="82"/>
        <v>935036</v>
      </c>
      <c r="P217" s="437">
        <f t="shared" si="82"/>
        <v>972476</v>
      </c>
      <c r="Q217" s="437">
        <f t="shared" si="82"/>
        <v>1011251</v>
      </c>
      <c r="R217" s="437">
        <f t="shared" si="82"/>
        <v>1010840.4200000018</v>
      </c>
      <c r="S217" s="437" t="str">
        <f t="shared" si="82"/>
        <v/>
      </c>
      <c r="T217" s="437" t="str">
        <f t="shared" si="82"/>
        <v/>
      </c>
      <c r="U217" s="437" t="str">
        <f t="shared" si="82"/>
        <v/>
      </c>
      <c r="V217" s="437" t="str">
        <f t="shared" si="82"/>
        <v/>
      </c>
      <c r="W217" s="437" t="str">
        <f t="shared" si="82"/>
        <v/>
      </c>
      <c r="X217" s="437" t="str">
        <f t="shared" si="82"/>
        <v/>
      </c>
      <c r="Y217" s="437" t="str">
        <f t="shared" si="82"/>
        <v/>
      </c>
      <c r="Z217" s="437" t="str">
        <f t="shared" si="82"/>
        <v/>
      </c>
      <c r="AA217" s="437" t="str">
        <f t="shared" si="82"/>
        <v/>
      </c>
      <c r="AB217" s="437" t="str">
        <f t="shared" si="82"/>
        <v/>
      </c>
      <c r="AC217" s="437" t="str">
        <f t="shared" si="82"/>
        <v/>
      </c>
      <c r="AD217" s="437" t="str">
        <f t="shared" si="82"/>
        <v/>
      </c>
      <c r="AE217" s="437" t="str">
        <f t="shared" si="82"/>
        <v/>
      </c>
      <c r="AF217" s="437" t="str">
        <f t="shared" si="82"/>
        <v/>
      </c>
      <c r="AG217" s="437" t="str">
        <f t="shared" si="82"/>
        <v/>
      </c>
      <c r="AH217" s="437" t="str">
        <f t="shared" si="82"/>
        <v/>
      </c>
      <c r="AI217" s="437" t="str">
        <f t="shared" si="82"/>
        <v/>
      </c>
      <c r="AJ217" s="437" t="str">
        <f t="shared" si="82"/>
        <v/>
      </c>
      <c r="AK217" s="437" t="str">
        <f t="shared" si="82"/>
        <v/>
      </c>
      <c r="AL217" s="438" t="str">
        <f t="shared" si="82"/>
        <v/>
      </c>
      <c r="AM217" s="323"/>
    </row>
    <row r="218" spans="2:39" ht="15" hidden="1" outlineLevel="2">
      <c r="B218" s="390"/>
      <c r="C218" s="391"/>
      <c r="D218" s="399" t="s">
        <v>603</v>
      </c>
      <c r="E218" s="439" t="s">
        <v>600</v>
      </c>
      <c r="F218" s="440">
        <f t="shared" si="82"/>
        <v>-1077388.6500000004</v>
      </c>
      <c r="G218" s="440">
        <f t="shared" si="82"/>
        <v>2858797.14</v>
      </c>
      <c r="H218" s="441">
        <f t="shared" si="82"/>
        <v>-2263973.0499999998</v>
      </c>
      <c r="I218" s="436">
        <f t="shared" si="82"/>
        <v>1102767.0499999998</v>
      </c>
      <c r="J218" s="437">
        <f t="shared" si="82"/>
        <v>-656465</v>
      </c>
      <c r="K218" s="437">
        <f t="shared" si="82"/>
        <v>-470299</v>
      </c>
      <c r="L218" s="437">
        <f t="shared" si="82"/>
        <v>2000</v>
      </c>
      <c r="M218" s="437">
        <f t="shared" si="82"/>
        <v>-821500</v>
      </c>
      <c r="N218" s="437">
        <f t="shared" si="82"/>
        <v>-261300</v>
      </c>
      <c r="O218" s="437">
        <f t="shared" si="82"/>
        <v>-26200</v>
      </c>
      <c r="P218" s="437">
        <f t="shared" si="82"/>
        <v>-20000</v>
      </c>
      <c r="Q218" s="437">
        <f t="shared" si="82"/>
        <v>50000</v>
      </c>
      <c r="R218" s="437">
        <f t="shared" si="82"/>
        <v>-40000</v>
      </c>
      <c r="S218" s="437" t="str">
        <f t="shared" si="82"/>
        <v/>
      </c>
      <c r="T218" s="437" t="str">
        <f t="shared" si="82"/>
        <v/>
      </c>
      <c r="U218" s="437" t="str">
        <f t="shared" si="82"/>
        <v/>
      </c>
      <c r="V218" s="437" t="str">
        <f t="shared" si="82"/>
        <v/>
      </c>
      <c r="W218" s="437" t="str">
        <f t="shared" si="82"/>
        <v/>
      </c>
      <c r="X218" s="437" t="str">
        <f t="shared" si="82"/>
        <v/>
      </c>
      <c r="Y218" s="437" t="str">
        <f t="shared" si="82"/>
        <v/>
      </c>
      <c r="Z218" s="437" t="str">
        <f t="shared" si="82"/>
        <v/>
      </c>
      <c r="AA218" s="437" t="str">
        <f t="shared" si="82"/>
        <v/>
      </c>
      <c r="AB218" s="437" t="str">
        <f t="shared" si="82"/>
        <v/>
      </c>
      <c r="AC218" s="437" t="str">
        <f t="shared" si="82"/>
        <v/>
      </c>
      <c r="AD218" s="437" t="str">
        <f t="shared" si="82"/>
        <v/>
      </c>
      <c r="AE218" s="437" t="str">
        <f t="shared" si="82"/>
        <v/>
      </c>
      <c r="AF218" s="437" t="str">
        <f t="shared" si="82"/>
        <v/>
      </c>
      <c r="AG218" s="437" t="str">
        <f t="shared" si="82"/>
        <v/>
      </c>
      <c r="AH218" s="437" t="str">
        <f t="shared" si="82"/>
        <v/>
      </c>
      <c r="AI218" s="437" t="str">
        <f t="shared" si="82"/>
        <v/>
      </c>
      <c r="AJ218" s="437" t="str">
        <f t="shared" si="82"/>
        <v/>
      </c>
      <c r="AK218" s="437" t="str">
        <f t="shared" si="82"/>
        <v/>
      </c>
      <c r="AL218" s="438" t="str">
        <f t="shared" si="82"/>
        <v/>
      </c>
      <c r="AM218" s="323"/>
    </row>
    <row r="219" spans="2:39" ht="24" hidden="1" outlineLevel="2">
      <c r="B219" s="390"/>
      <c r="C219" s="391"/>
      <c r="D219" s="399" t="s">
        <v>604</v>
      </c>
      <c r="E219" s="439" t="s">
        <v>600</v>
      </c>
      <c r="F219" s="440">
        <f t="shared" si="82"/>
        <v>295254.65999999957</v>
      </c>
      <c r="G219" s="440">
        <f t="shared" si="82"/>
        <v>1061740.48</v>
      </c>
      <c r="H219" s="441">
        <f t="shared" si="82"/>
        <v>-1346050.9999999998</v>
      </c>
      <c r="I219" s="436">
        <f t="shared" si="82"/>
        <v>526416.99999999977</v>
      </c>
      <c r="J219" s="437">
        <f t="shared" si="82"/>
        <v>-348067</v>
      </c>
      <c r="K219" s="437">
        <f t="shared" si="82"/>
        <v>-20299</v>
      </c>
      <c r="L219" s="437">
        <f t="shared" si="82"/>
        <v>102000</v>
      </c>
      <c r="M219" s="437">
        <f t="shared" si="82"/>
        <v>-171500</v>
      </c>
      <c r="N219" s="437">
        <f t="shared" si="82"/>
        <v>-61300</v>
      </c>
      <c r="O219" s="437">
        <f t="shared" si="82"/>
        <v>-26200</v>
      </c>
      <c r="P219" s="437">
        <f t="shared" si="82"/>
        <v>-20000</v>
      </c>
      <c r="Q219" s="437">
        <f t="shared" si="82"/>
        <v>50000</v>
      </c>
      <c r="R219" s="437">
        <f t="shared" si="82"/>
        <v>-40000</v>
      </c>
      <c r="S219" s="437" t="str">
        <f t="shared" si="82"/>
        <v/>
      </c>
      <c r="T219" s="437" t="str">
        <f t="shared" si="82"/>
        <v/>
      </c>
      <c r="U219" s="437" t="str">
        <f t="shared" si="82"/>
        <v/>
      </c>
      <c r="V219" s="437" t="str">
        <f t="shared" si="82"/>
        <v/>
      </c>
      <c r="W219" s="437" t="str">
        <f t="shared" si="82"/>
        <v/>
      </c>
      <c r="X219" s="437" t="str">
        <f t="shared" si="82"/>
        <v/>
      </c>
      <c r="Y219" s="437" t="str">
        <f t="shared" si="82"/>
        <v/>
      </c>
      <c r="Z219" s="437" t="str">
        <f t="shared" si="82"/>
        <v/>
      </c>
      <c r="AA219" s="437" t="str">
        <f t="shared" si="82"/>
        <v/>
      </c>
      <c r="AB219" s="437" t="str">
        <f t="shared" si="82"/>
        <v/>
      </c>
      <c r="AC219" s="437" t="str">
        <f t="shared" si="82"/>
        <v/>
      </c>
      <c r="AD219" s="437" t="str">
        <f t="shared" si="82"/>
        <v/>
      </c>
      <c r="AE219" s="437" t="str">
        <f t="shared" si="82"/>
        <v/>
      </c>
      <c r="AF219" s="437" t="str">
        <f t="shared" si="82"/>
        <v/>
      </c>
      <c r="AG219" s="437" t="str">
        <f t="shared" si="82"/>
        <v/>
      </c>
      <c r="AH219" s="437" t="str">
        <f t="shared" si="82"/>
        <v/>
      </c>
      <c r="AI219" s="437" t="str">
        <f t="shared" si="82"/>
        <v/>
      </c>
      <c r="AJ219" s="437" t="str">
        <f t="shared" si="82"/>
        <v/>
      </c>
      <c r="AK219" s="437" t="str">
        <f t="shared" si="82"/>
        <v/>
      </c>
      <c r="AL219" s="438" t="str">
        <f t="shared" si="82"/>
        <v/>
      </c>
      <c r="AM219" s="323"/>
    </row>
    <row r="220" spans="2:39" ht="15" hidden="1" outlineLevel="2">
      <c r="B220" s="390"/>
      <c r="C220" s="391"/>
      <c r="D220" s="403" t="s">
        <v>605</v>
      </c>
      <c r="E220" s="442" t="s">
        <v>600</v>
      </c>
      <c r="F220" s="443">
        <f t="shared" si="82"/>
        <v>-1372643.3099999998</v>
      </c>
      <c r="G220" s="443">
        <f t="shared" si="82"/>
        <v>1797056.66</v>
      </c>
      <c r="H220" s="444">
        <f t="shared" si="82"/>
        <v>-917922.05</v>
      </c>
      <c r="I220" s="445">
        <f t="shared" si="82"/>
        <v>576350.05000000005</v>
      </c>
      <c r="J220" s="446">
        <f t="shared" si="82"/>
        <v>-308398</v>
      </c>
      <c r="K220" s="446">
        <f t="shared" si="82"/>
        <v>-450000</v>
      </c>
      <c r="L220" s="446">
        <f t="shared" si="82"/>
        <v>-100000</v>
      </c>
      <c r="M220" s="446">
        <f t="shared" si="82"/>
        <v>-650000</v>
      </c>
      <c r="N220" s="446">
        <f t="shared" si="82"/>
        <v>-200000</v>
      </c>
      <c r="O220" s="446">
        <f t="shared" si="82"/>
        <v>0</v>
      </c>
      <c r="P220" s="446">
        <f t="shared" si="82"/>
        <v>0</v>
      </c>
      <c r="Q220" s="446">
        <f t="shared" si="82"/>
        <v>0</v>
      </c>
      <c r="R220" s="446">
        <f t="shared" si="82"/>
        <v>0</v>
      </c>
      <c r="S220" s="446" t="str">
        <f t="shared" si="82"/>
        <v/>
      </c>
      <c r="T220" s="446" t="str">
        <f t="shared" si="82"/>
        <v/>
      </c>
      <c r="U220" s="446" t="str">
        <f t="shared" si="82"/>
        <v/>
      </c>
      <c r="V220" s="446" t="str">
        <f t="shared" si="82"/>
        <v/>
      </c>
      <c r="W220" s="446" t="str">
        <f t="shared" si="82"/>
        <v/>
      </c>
      <c r="X220" s="446" t="str">
        <f t="shared" si="82"/>
        <v/>
      </c>
      <c r="Y220" s="446" t="str">
        <f t="shared" si="82"/>
        <v/>
      </c>
      <c r="Z220" s="446" t="str">
        <f t="shared" si="82"/>
        <v/>
      </c>
      <c r="AA220" s="446" t="str">
        <f t="shared" si="82"/>
        <v/>
      </c>
      <c r="AB220" s="446" t="str">
        <f t="shared" si="82"/>
        <v/>
      </c>
      <c r="AC220" s="446" t="str">
        <f t="shared" si="82"/>
        <v/>
      </c>
      <c r="AD220" s="446" t="str">
        <f t="shared" si="82"/>
        <v/>
      </c>
      <c r="AE220" s="446" t="str">
        <f t="shared" si="82"/>
        <v/>
      </c>
      <c r="AF220" s="446" t="str">
        <f t="shared" si="82"/>
        <v/>
      </c>
      <c r="AG220" s="446" t="str">
        <f t="shared" si="82"/>
        <v/>
      </c>
      <c r="AH220" s="446" t="str">
        <f t="shared" si="82"/>
        <v/>
      </c>
      <c r="AI220" s="446" t="str">
        <f t="shared" si="82"/>
        <v/>
      </c>
      <c r="AJ220" s="446" t="str">
        <f t="shared" si="82"/>
        <v/>
      </c>
      <c r="AK220" s="446" t="str">
        <f t="shared" si="82"/>
        <v/>
      </c>
      <c r="AL220" s="447" t="str">
        <f t="shared" si="82"/>
        <v/>
      </c>
      <c r="AM220" s="323"/>
    </row>
    <row r="221" spans="2:39" hidden="1" outlineLevel="2">
      <c r="B221" s="380"/>
      <c r="C221" s="381"/>
      <c r="D221" s="382" t="s">
        <v>230</v>
      </c>
      <c r="E221" s="427" t="s">
        <v>600</v>
      </c>
      <c r="F221" s="428">
        <f t="shared" ref="F221:AL226" si="83">+IF(F$234=0,"",F234-E234)</f>
        <v>5671321.4299999997</v>
      </c>
      <c r="G221" s="428">
        <f t="shared" si="83"/>
        <v>-748643.33000000194</v>
      </c>
      <c r="H221" s="429">
        <f t="shared" si="83"/>
        <v>-3901524.4299999997</v>
      </c>
      <c r="I221" s="430">
        <f t="shared" si="83"/>
        <v>1144286.5500000007</v>
      </c>
      <c r="J221" s="431">
        <f t="shared" si="83"/>
        <v>-1502169.2699999996</v>
      </c>
      <c r="K221" s="431">
        <f t="shared" si="83"/>
        <v>621563</v>
      </c>
      <c r="L221" s="431">
        <f t="shared" si="83"/>
        <v>1314553</v>
      </c>
      <c r="M221" s="431">
        <f t="shared" si="83"/>
        <v>184780</v>
      </c>
      <c r="N221" s="431">
        <f t="shared" si="83"/>
        <v>1085640</v>
      </c>
      <c r="O221" s="431">
        <f t="shared" si="83"/>
        <v>685036</v>
      </c>
      <c r="P221" s="431">
        <f t="shared" si="83"/>
        <v>3315870</v>
      </c>
      <c r="Q221" s="431">
        <f t="shared" si="83"/>
        <v>3362415</v>
      </c>
      <c r="R221" s="431">
        <f t="shared" si="83"/>
        <v>1510759</v>
      </c>
      <c r="S221" s="431" t="str">
        <f t="shared" si="83"/>
        <v/>
      </c>
      <c r="T221" s="431" t="str">
        <f t="shared" si="83"/>
        <v/>
      </c>
      <c r="U221" s="431" t="str">
        <f t="shared" si="83"/>
        <v/>
      </c>
      <c r="V221" s="431" t="str">
        <f t="shared" si="83"/>
        <v/>
      </c>
      <c r="W221" s="431" t="str">
        <f t="shared" si="83"/>
        <v/>
      </c>
      <c r="X221" s="431" t="str">
        <f t="shared" si="83"/>
        <v/>
      </c>
      <c r="Y221" s="431" t="str">
        <f t="shared" si="83"/>
        <v/>
      </c>
      <c r="Z221" s="431" t="str">
        <f t="shared" si="83"/>
        <v/>
      </c>
      <c r="AA221" s="431" t="str">
        <f t="shared" si="83"/>
        <v/>
      </c>
      <c r="AB221" s="431" t="str">
        <f t="shared" si="83"/>
        <v/>
      </c>
      <c r="AC221" s="431" t="str">
        <f t="shared" si="83"/>
        <v/>
      </c>
      <c r="AD221" s="431" t="str">
        <f t="shared" si="83"/>
        <v/>
      </c>
      <c r="AE221" s="431" t="str">
        <f t="shared" si="83"/>
        <v/>
      </c>
      <c r="AF221" s="431" t="str">
        <f t="shared" si="83"/>
        <v/>
      </c>
      <c r="AG221" s="431" t="str">
        <f t="shared" si="83"/>
        <v/>
      </c>
      <c r="AH221" s="431" t="str">
        <f t="shared" si="83"/>
        <v/>
      </c>
      <c r="AI221" s="431" t="str">
        <f t="shared" si="83"/>
        <v/>
      </c>
      <c r="AJ221" s="431" t="str">
        <f t="shared" si="83"/>
        <v/>
      </c>
      <c r="AK221" s="431" t="str">
        <f t="shared" si="83"/>
        <v/>
      </c>
      <c r="AL221" s="432" t="str">
        <f t="shared" si="83"/>
        <v/>
      </c>
      <c r="AM221" s="389"/>
    </row>
    <row r="222" spans="2:39" ht="24" hidden="1" outlineLevel="2">
      <c r="B222" s="390"/>
      <c r="C222" s="391"/>
      <c r="D222" s="410" t="s">
        <v>606</v>
      </c>
      <c r="E222" s="439" t="s">
        <v>600</v>
      </c>
      <c r="F222" s="440">
        <f t="shared" si="83"/>
        <v>-1995011.6999999993</v>
      </c>
      <c r="G222" s="440">
        <f t="shared" si="83"/>
        <v>4604266.3999999985</v>
      </c>
      <c r="H222" s="441">
        <f t="shared" si="83"/>
        <v>-3595110.4300000034</v>
      </c>
      <c r="I222" s="436">
        <f t="shared" si="83"/>
        <v>1291685.950000003</v>
      </c>
      <c r="J222" s="437">
        <f t="shared" si="83"/>
        <v>-29771.269999999553</v>
      </c>
      <c r="K222" s="437">
        <f t="shared" si="83"/>
        <v>371345</v>
      </c>
      <c r="L222" s="437">
        <f t="shared" si="83"/>
        <v>441983</v>
      </c>
      <c r="M222" s="437">
        <f t="shared" si="83"/>
        <v>-90220</v>
      </c>
      <c r="N222" s="437">
        <f t="shared" si="83"/>
        <v>523840</v>
      </c>
      <c r="O222" s="437">
        <f t="shared" si="83"/>
        <v>1281836</v>
      </c>
      <c r="P222" s="437">
        <f t="shared" si="83"/>
        <v>391870</v>
      </c>
      <c r="Q222" s="437">
        <f t="shared" si="83"/>
        <v>-163585</v>
      </c>
      <c r="R222" s="437">
        <f t="shared" si="83"/>
        <v>860759</v>
      </c>
      <c r="S222" s="437" t="str">
        <f t="shared" si="83"/>
        <v/>
      </c>
      <c r="T222" s="437" t="str">
        <f t="shared" si="83"/>
        <v/>
      </c>
      <c r="U222" s="437" t="str">
        <f t="shared" si="83"/>
        <v/>
      </c>
      <c r="V222" s="437" t="str">
        <f t="shared" si="83"/>
        <v/>
      </c>
      <c r="W222" s="437" t="str">
        <f t="shared" si="83"/>
        <v/>
      </c>
      <c r="X222" s="437" t="str">
        <f t="shared" si="83"/>
        <v/>
      </c>
      <c r="Y222" s="437" t="str">
        <f t="shared" si="83"/>
        <v/>
      </c>
      <c r="Z222" s="437" t="str">
        <f t="shared" si="83"/>
        <v/>
      </c>
      <c r="AA222" s="437" t="str">
        <f t="shared" si="83"/>
        <v/>
      </c>
      <c r="AB222" s="437" t="str">
        <f t="shared" si="83"/>
        <v/>
      </c>
      <c r="AC222" s="437" t="str">
        <f t="shared" si="83"/>
        <v/>
      </c>
      <c r="AD222" s="437" t="str">
        <f t="shared" si="83"/>
        <v/>
      </c>
      <c r="AE222" s="437" t="str">
        <f t="shared" si="83"/>
        <v/>
      </c>
      <c r="AF222" s="437" t="str">
        <f t="shared" si="83"/>
        <v/>
      </c>
      <c r="AG222" s="437" t="str">
        <f t="shared" si="83"/>
        <v/>
      </c>
      <c r="AH222" s="437" t="str">
        <f t="shared" si="83"/>
        <v/>
      </c>
      <c r="AI222" s="437" t="str">
        <f t="shared" si="83"/>
        <v/>
      </c>
      <c r="AJ222" s="437" t="str">
        <f t="shared" si="83"/>
        <v/>
      </c>
      <c r="AK222" s="437" t="str">
        <f t="shared" si="83"/>
        <v/>
      </c>
      <c r="AL222" s="438" t="str">
        <f t="shared" si="83"/>
        <v/>
      </c>
      <c r="AM222" s="323"/>
    </row>
    <row r="223" spans="2:39" hidden="1" outlineLevel="2">
      <c r="B223" s="380"/>
      <c r="C223" s="381"/>
      <c r="D223" s="411" t="s">
        <v>607</v>
      </c>
      <c r="E223" s="448" t="s">
        <v>600</v>
      </c>
      <c r="F223" s="449">
        <f t="shared" si="83"/>
        <v>2417067.25</v>
      </c>
      <c r="G223" s="449">
        <f t="shared" si="83"/>
        <v>2396318.9899999984</v>
      </c>
      <c r="H223" s="450">
        <f t="shared" si="83"/>
        <v>-2057806.9399999976</v>
      </c>
      <c r="I223" s="451">
        <f t="shared" si="83"/>
        <v>903133.05999999866</v>
      </c>
      <c r="J223" s="452">
        <f t="shared" si="83"/>
        <v>603538.73000000045</v>
      </c>
      <c r="K223" s="452">
        <f t="shared" si="83"/>
        <v>350574</v>
      </c>
      <c r="L223" s="452">
        <f t="shared" si="83"/>
        <v>391689</v>
      </c>
      <c r="M223" s="452">
        <f t="shared" si="83"/>
        <v>420261</v>
      </c>
      <c r="N223" s="452">
        <f t="shared" si="83"/>
        <v>373840</v>
      </c>
      <c r="O223" s="452">
        <f t="shared" si="83"/>
        <v>372400</v>
      </c>
      <c r="P223" s="452">
        <f t="shared" si="83"/>
        <v>388760</v>
      </c>
      <c r="Q223" s="452">
        <f t="shared" si="83"/>
        <v>396537</v>
      </c>
      <c r="R223" s="452">
        <f t="shared" si="83"/>
        <v>404513</v>
      </c>
      <c r="S223" s="452" t="str">
        <f t="shared" si="83"/>
        <v/>
      </c>
      <c r="T223" s="452" t="str">
        <f t="shared" si="83"/>
        <v/>
      </c>
      <c r="U223" s="452" t="str">
        <f t="shared" si="83"/>
        <v/>
      </c>
      <c r="V223" s="452" t="str">
        <f t="shared" si="83"/>
        <v/>
      </c>
      <c r="W223" s="452" t="str">
        <f t="shared" si="83"/>
        <v/>
      </c>
      <c r="X223" s="452" t="str">
        <f t="shared" si="83"/>
        <v/>
      </c>
      <c r="Y223" s="452" t="str">
        <f t="shared" si="83"/>
        <v/>
      </c>
      <c r="Z223" s="452" t="str">
        <f t="shared" si="83"/>
        <v/>
      </c>
      <c r="AA223" s="452" t="str">
        <f t="shared" si="83"/>
        <v/>
      </c>
      <c r="AB223" s="452" t="str">
        <f t="shared" si="83"/>
        <v/>
      </c>
      <c r="AC223" s="452" t="str">
        <f t="shared" si="83"/>
        <v/>
      </c>
      <c r="AD223" s="452" t="str">
        <f t="shared" si="83"/>
        <v/>
      </c>
      <c r="AE223" s="452" t="str">
        <f t="shared" si="83"/>
        <v/>
      </c>
      <c r="AF223" s="452" t="str">
        <f t="shared" si="83"/>
        <v/>
      </c>
      <c r="AG223" s="452" t="str">
        <f t="shared" si="83"/>
        <v/>
      </c>
      <c r="AH223" s="452" t="str">
        <f t="shared" si="83"/>
        <v/>
      </c>
      <c r="AI223" s="452" t="str">
        <f t="shared" si="83"/>
        <v/>
      </c>
      <c r="AJ223" s="452" t="str">
        <f t="shared" si="83"/>
        <v/>
      </c>
      <c r="AK223" s="452" t="str">
        <f t="shared" si="83"/>
        <v/>
      </c>
      <c r="AL223" s="453" t="str">
        <f t="shared" si="83"/>
        <v/>
      </c>
      <c r="AM223" s="389"/>
    </row>
    <row r="224" spans="2:39" ht="24" hidden="1" outlineLevel="2">
      <c r="B224" s="390"/>
      <c r="C224" s="391"/>
      <c r="D224" s="399" t="s">
        <v>608</v>
      </c>
      <c r="E224" s="439" t="s">
        <v>600</v>
      </c>
      <c r="F224" s="440">
        <f t="shared" si="83"/>
        <v>1645470.7300000004</v>
      </c>
      <c r="G224" s="440">
        <f t="shared" si="83"/>
        <v>2537088.1099999994</v>
      </c>
      <c r="H224" s="441">
        <f t="shared" si="83"/>
        <v>-2056584.75</v>
      </c>
      <c r="I224" s="436">
        <f t="shared" si="83"/>
        <v>898320.26999999955</v>
      </c>
      <c r="J224" s="437">
        <f t="shared" si="83"/>
        <v>950744.73000000045</v>
      </c>
      <c r="K224" s="437">
        <f t="shared" si="83"/>
        <v>527786</v>
      </c>
      <c r="L224" s="437">
        <f t="shared" si="83"/>
        <v>391689</v>
      </c>
      <c r="M224" s="437">
        <f t="shared" si="83"/>
        <v>470261</v>
      </c>
      <c r="N224" s="437">
        <f t="shared" si="83"/>
        <v>373840</v>
      </c>
      <c r="O224" s="437">
        <f t="shared" si="83"/>
        <v>432400</v>
      </c>
      <c r="P224" s="437">
        <f t="shared" si="83"/>
        <v>388760</v>
      </c>
      <c r="Q224" s="437">
        <f t="shared" si="83"/>
        <v>396537</v>
      </c>
      <c r="R224" s="437">
        <f t="shared" si="83"/>
        <v>404513</v>
      </c>
      <c r="S224" s="437" t="str">
        <f t="shared" si="83"/>
        <v/>
      </c>
      <c r="T224" s="437" t="str">
        <f t="shared" si="83"/>
        <v/>
      </c>
      <c r="U224" s="437" t="str">
        <f t="shared" si="83"/>
        <v/>
      </c>
      <c r="V224" s="437" t="str">
        <f t="shared" si="83"/>
        <v/>
      </c>
      <c r="W224" s="437" t="str">
        <f t="shared" si="83"/>
        <v/>
      </c>
      <c r="X224" s="437" t="str">
        <f t="shared" si="83"/>
        <v/>
      </c>
      <c r="Y224" s="437" t="str">
        <f t="shared" si="83"/>
        <v/>
      </c>
      <c r="Z224" s="437" t="str">
        <f t="shared" si="83"/>
        <v/>
      </c>
      <c r="AA224" s="437" t="str">
        <f t="shared" si="83"/>
        <v/>
      </c>
      <c r="AB224" s="437" t="str">
        <f t="shared" si="83"/>
        <v/>
      </c>
      <c r="AC224" s="437" t="str">
        <f t="shared" si="83"/>
        <v/>
      </c>
      <c r="AD224" s="437" t="str">
        <f t="shared" si="83"/>
        <v/>
      </c>
      <c r="AE224" s="437" t="str">
        <f t="shared" si="83"/>
        <v/>
      </c>
      <c r="AF224" s="437" t="str">
        <f t="shared" si="83"/>
        <v/>
      </c>
      <c r="AG224" s="437" t="str">
        <f t="shared" si="83"/>
        <v/>
      </c>
      <c r="AH224" s="437" t="str">
        <f t="shared" si="83"/>
        <v/>
      </c>
      <c r="AI224" s="437" t="str">
        <f t="shared" si="83"/>
        <v/>
      </c>
      <c r="AJ224" s="437" t="str">
        <f t="shared" si="83"/>
        <v/>
      </c>
      <c r="AK224" s="437" t="str">
        <f t="shared" si="83"/>
        <v/>
      </c>
      <c r="AL224" s="438" t="str">
        <f t="shared" si="83"/>
        <v/>
      </c>
      <c r="AM224" s="323"/>
    </row>
    <row r="225" spans="2:39" ht="15" hidden="1" outlineLevel="2">
      <c r="B225" s="390"/>
      <c r="C225" s="391"/>
      <c r="D225" s="399" t="s">
        <v>609</v>
      </c>
      <c r="E225" s="439" t="s">
        <v>600</v>
      </c>
      <c r="F225" s="440">
        <f t="shared" si="83"/>
        <v>625623.41999999993</v>
      </c>
      <c r="G225" s="440">
        <f t="shared" si="83"/>
        <v>405716.94000000041</v>
      </c>
      <c r="H225" s="441">
        <f t="shared" si="83"/>
        <v>-297374.81000000052</v>
      </c>
      <c r="I225" s="436">
        <f t="shared" si="83"/>
        <v>-924.76999999955297</v>
      </c>
      <c r="J225" s="437">
        <f t="shared" si="83"/>
        <v>164508.6799999997</v>
      </c>
      <c r="K225" s="437">
        <f t="shared" si="83"/>
        <v>135717</v>
      </c>
      <c r="L225" s="437">
        <f t="shared" si="83"/>
        <v>138438</v>
      </c>
      <c r="M225" s="437">
        <f t="shared" si="83"/>
        <v>-7059980</v>
      </c>
      <c r="N225" s="437">
        <f t="shared" si="83"/>
        <v>0</v>
      </c>
      <c r="O225" s="437">
        <f t="shared" si="83"/>
        <v>0</v>
      </c>
      <c r="P225" s="437">
        <f t="shared" si="83"/>
        <v>0</v>
      </c>
      <c r="Q225" s="437">
        <f t="shared" si="83"/>
        <v>0</v>
      </c>
      <c r="R225" s="437">
        <f t="shared" si="83"/>
        <v>0</v>
      </c>
      <c r="S225" s="437" t="str">
        <f t="shared" si="83"/>
        <v/>
      </c>
      <c r="T225" s="437" t="str">
        <f t="shared" si="83"/>
        <v/>
      </c>
      <c r="U225" s="437" t="str">
        <f t="shared" si="83"/>
        <v/>
      </c>
      <c r="V225" s="437" t="str">
        <f t="shared" si="83"/>
        <v/>
      </c>
      <c r="W225" s="437" t="str">
        <f t="shared" si="83"/>
        <v/>
      </c>
      <c r="X225" s="437" t="str">
        <f t="shared" si="83"/>
        <v/>
      </c>
      <c r="Y225" s="437" t="str">
        <f t="shared" si="83"/>
        <v/>
      </c>
      <c r="Z225" s="437" t="str">
        <f t="shared" si="83"/>
        <v/>
      </c>
      <c r="AA225" s="437" t="str">
        <f t="shared" si="83"/>
        <v/>
      </c>
      <c r="AB225" s="437" t="str">
        <f t="shared" si="83"/>
        <v/>
      </c>
      <c r="AC225" s="437" t="str">
        <f t="shared" si="83"/>
        <v/>
      </c>
      <c r="AD225" s="437" t="str">
        <f t="shared" si="83"/>
        <v/>
      </c>
      <c r="AE225" s="437" t="str">
        <f t="shared" si="83"/>
        <v/>
      </c>
      <c r="AF225" s="437" t="str">
        <f t="shared" si="83"/>
        <v/>
      </c>
      <c r="AG225" s="437" t="str">
        <f t="shared" si="83"/>
        <v/>
      </c>
      <c r="AH225" s="437" t="str">
        <f t="shared" si="83"/>
        <v/>
      </c>
      <c r="AI225" s="437" t="str">
        <f t="shared" si="83"/>
        <v/>
      </c>
      <c r="AJ225" s="437" t="str">
        <f t="shared" si="83"/>
        <v/>
      </c>
      <c r="AK225" s="437" t="str">
        <f t="shared" si="83"/>
        <v/>
      </c>
      <c r="AL225" s="438" t="str">
        <f t="shared" si="83"/>
        <v/>
      </c>
      <c r="AM225" s="323"/>
    </row>
    <row r="226" spans="2:39" ht="48" hidden="1" outlineLevel="2">
      <c r="B226" s="390"/>
      <c r="C226" s="391"/>
      <c r="D226" s="403" t="s">
        <v>610</v>
      </c>
      <c r="E226" s="442" t="s">
        <v>600</v>
      </c>
      <c r="F226" s="443">
        <f t="shared" si="83"/>
        <v>-1351918.0899999999</v>
      </c>
      <c r="G226" s="443">
        <f t="shared" si="83"/>
        <v>1697978.3099999977</v>
      </c>
      <c r="H226" s="444">
        <f t="shared" si="83"/>
        <v>-1335406.429999996</v>
      </c>
      <c r="I226" s="445">
        <f t="shared" si="83"/>
        <v>747401.12999999709</v>
      </c>
      <c r="J226" s="446">
        <f t="shared" si="83"/>
        <v>473083.05000000075</v>
      </c>
      <c r="K226" s="446">
        <f t="shared" si="83"/>
        <v>261644</v>
      </c>
      <c r="L226" s="446">
        <f t="shared" si="83"/>
        <v>292239</v>
      </c>
      <c r="M226" s="446">
        <f t="shared" si="83"/>
        <v>10831084</v>
      </c>
      <c r="N226" s="446">
        <f t="shared" si="83"/>
        <v>497903</v>
      </c>
      <c r="O226" s="446">
        <f t="shared" si="83"/>
        <v>484764</v>
      </c>
      <c r="P226" s="446">
        <f t="shared" si="83"/>
        <v>495686</v>
      </c>
      <c r="Q226" s="446">
        <f t="shared" si="83"/>
        <v>443574</v>
      </c>
      <c r="R226" s="446">
        <f t="shared" si="83"/>
        <v>411133</v>
      </c>
      <c r="S226" s="446" t="str">
        <f t="shared" si="83"/>
        <v/>
      </c>
      <c r="T226" s="446" t="str">
        <f t="shared" si="83"/>
        <v/>
      </c>
      <c r="U226" s="446" t="str">
        <f t="shared" si="83"/>
        <v/>
      </c>
      <c r="V226" s="446" t="str">
        <f t="shared" si="83"/>
        <v/>
      </c>
      <c r="W226" s="446" t="str">
        <f t="shared" si="83"/>
        <v/>
      </c>
      <c r="X226" s="446" t="str">
        <f t="shared" si="83"/>
        <v/>
      </c>
      <c r="Y226" s="446" t="str">
        <f t="shared" si="83"/>
        <v/>
      </c>
      <c r="Z226" s="446" t="str">
        <f t="shared" si="83"/>
        <v/>
      </c>
      <c r="AA226" s="446" t="str">
        <f t="shared" si="83"/>
        <v/>
      </c>
      <c r="AB226" s="446" t="str">
        <f t="shared" si="83"/>
        <v/>
      </c>
      <c r="AC226" s="446" t="str">
        <f t="shared" si="83"/>
        <v/>
      </c>
      <c r="AD226" s="446" t="str">
        <f t="shared" si="83"/>
        <v/>
      </c>
      <c r="AE226" s="446" t="str">
        <f t="shared" si="83"/>
        <v/>
      </c>
      <c r="AF226" s="446" t="str">
        <f t="shared" si="83"/>
        <v/>
      </c>
      <c r="AG226" s="446" t="str">
        <f t="shared" si="83"/>
        <v/>
      </c>
      <c r="AH226" s="446" t="str">
        <f t="shared" si="83"/>
        <v/>
      </c>
      <c r="AI226" s="446" t="str">
        <f t="shared" si="83"/>
        <v/>
      </c>
      <c r="AJ226" s="446" t="str">
        <f t="shared" si="83"/>
        <v/>
      </c>
      <c r="AK226" s="446" t="str">
        <f t="shared" si="83"/>
        <v/>
      </c>
      <c r="AL226" s="447" t="str">
        <f t="shared" si="83"/>
        <v/>
      </c>
      <c r="AM226" s="323"/>
    </row>
    <row r="227" spans="2:39" ht="15" hidden="1" outlineLevel="1">
      <c r="B227" s="390"/>
      <c r="C227" s="391"/>
      <c r="D227" s="353" t="s">
        <v>614</v>
      </c>
      <c r="E227" s="424"/>
      <c r="F227" s="424"/>
      <c r="G227" s="424"/>
      <c r="H227" s="424"/>
      <c r="I227" s="426"/>
      <c r="J227" s="426"/>
      <c r="K227" s="426"/>
      <c r="L227" s="426"/>
      <c r="M227" s="426"/>
      <c r="N227" s="426"/>
      <c r="O227" s="426"/>
      <c r="P227" s="426"/>
      <c r="Q227" s="426"/>
      <c r="R227" s="426"/>
      <c r="S227" s="426"/>
      <c r="T227" s="426"/>
      <c r="U227" s="426"/>
      <c r="V227" s="426"/>
      <c r="W227" s="426"/>
      <c r="X227" s="426"/>
      <c r="Y227" s="426"/>
      <c r="Z227" s="426"/>
      <c r="AA227" s="426"/>
      <c r="AB227" s="426"/>
      <c r="AC227" s="426"/>
      <c r="AD227" s="426"/>
      <c r="AE227" s="426"/>
      <c r="AF227" s="426"/>
      <c r="AG227" s="426"/>
      <c r="AH227" s="426"/>
      <c r="AI227" s="426"/>
      <c r="AJ227" s="426"/>
      <c r="AK227" s="426"/>
      <c r="AL227" s="426"/>
      <c r="AM227" s="323"/>
    </row>
    <row r="228" spans="2:39" hidden="1" outlineLevel="2">
      <c r="B228" s="380"/>
      <c r="C228" s="381"/>
      <c r="D228" s="382" t="s">
        <v>205</v>
      </c>
      <c r="E228" s="454">
        <f t="shared" ref="E228:AL228" si="84">+E8</f>
        <v>18734729.550000001</v>
      </c>
      <c r="F228" s="455">
        <f t="shared" si="84"/>
        <v>20245143.629999999</v>
      </c>
      <c r="G228" s="455">
        <f t="shared" si="84"/>
        <v>24139022.149999999</v>
      </c>
      <c r="H228" s="456">
        <f t="shared" si="84"/>
        <v>20184871.670000002</v>
      </c>
      <c r="I228" s="430">
        <f t="shared" si="84"/>
        <v>22832644.27</v>
      </c>
      <c r="J228" s="431">
        <f t="shared" si="84"/>
        <v>21419364</v>
      </c>
      <c r="K228" s="431">
        <f t="shared" si="84"/>
        <v>22040927</v>
      </c>
      <c r="L228" s="431">
        <f t="shared" si="84"/>
        <v>23355480</v>
      </c>
      <c r="M228" s="431">
        <f t="shared" si="84"/>
        <v>23540260</v>
      </c>
      <c r="N228" s="431">
        <f t="shared" si="84"/>
        <v>24625900</v>
      </c>
      <c r="O228" s="431">
        <f t="shared" si="84"/>
        <v>25270936</v>
      </c>
      <c r="P228" s="431">
        <f t="shared" si="84"/>
        <v>27683412</v>
      </c>
      <c r="Q228" s="431">
        <f t="shared" si="84"/>
        <v>30394663</v>
      </c>
      <c r="R228" s="431">
        <f t="shared" si="84"/>
        <v>31905503.420000002</v>
      </c>
      <c r="S228" s="431">
        <f t="shared" si="84"/>
        <v>0</v>
      </c>
      <c r="T228" s="431">
        <f t="shared" si="84"/>
        <v>0</v>
      </c>
      <c r="U228" s="431">
        <f t="shared" si="84"/>
        <v>0</v>
      </c>
      <c r="V228" s="431">
        <f t="shared" si="84"/>
        <v>0</v>
      </c>
      <c r="W228" s="431">
        <f t="shared" si="84"/>
        <v>0</v>
      </c>
      <c r="X228" s="431">
        <f t="shared" si="84"/>
        <v>0</v>
      </c>
      <c r="Y228" s="431">
        <f t="shared" si="84"/>
        <v>0</v>
      </c>
      <c r="Z228" s="431">
        <f t="shared" si="84"/>
        <v>0</v>
      </c>
      <c r="AA228" s="431">
        <f t="shared" si="84"/>
        <v>0</v>
      </c>
      <c r="AB228" s="431">
        <f t="shared" si="84"/>
        <v>0</v>
      </c>
      <c r="AC228" s="431">
        <f t="shared" si="84"/>
        <v>0</v>
      </c>
      <c r="AD228" s="431">
        <f t="shared" si="84"/>
        <v>0</v>
      </c>
      <c r="AE228" s="431">
        <f t="shared" si="84"/>
        <v>0</v>
      </c>
      <c r="AF228" s="431">
        <f t="shared" si="84"/>
        <v>0</v>
      </c>
      <c r="AG228" s="431">
        <f t="shared" si="84"/>
        <v>0</v>
      </c>
      <c r="AH228" s="431">
        <f t="shared" si="84"/>
        <v>0</v>
      </c>
      <c r="AI228" s="431">
        <f t="shared" si="84"/>
        <v>0</v>
      </c>
      <c r="AJ228" s="431">
        <f t="shared" si="84"/>
        <v>0</v>
      </c>
      <c r="AK228" s="431">
        <f t="shared" si="84"/>
        <v>0</v>
      </c>
      <c r="AL228" s="432">
        <f t="shared" si="84"/>
        <v>0</v>
      </c>
      <c r="AM228" s="389"/>
    </row>
    <row r="229" spans="2:39" ht="15" hidden="1" outlineLevel="2">
      <c r="B229" s="390"/>
      <c r="C229" s="391"/>
      <c r="D229" s="392" t="s">
        <v>601</v>
      </c>
      <c r="E229" s="457">
        <f t="shared" ref="E229:AL229" si="85">+(E8-E73-E76)</f>
        <v>16089211.629999999</v>
      </c>
      <c r="F229" s="458">
        <f t="shared" si="85"/>
        <v>17381258.289999999</v>
      </c>
      <c r="G229" s="458">
        <f t="shared" si="85"/>
        <v>21720381.689999998</v>
      </c>
      <c r="H229" s="459">
        <f t="shared" si="85"/>
        <v>18175526.110000003</v>
      </c>
      <c r="I229" s="436">
        <f t="shared" si="85"/>
        <v>21064406.27</v>
      </c>
      <c r="J229" s="437">
        <f t="shared" si="85"/>
        <v>21124784</v>
      </c>
      <c r="K229" s="437">
        <f t="shared" si="85"/>
        <v>21670927</v>
      </c>
      <c r="L229" s="437">
        <f t="shared" si="85"/>
        <v>22557480</v>
      </c>
      <c r="M229" s="437">
        <f t="shared" si="85"/>
        <v>22642760</v>
      </c>
      <c r="N229" s="437">
        <f t="shared" si="85"/>
        <v>23442100</v>
      </c>
      <c r="O229" s="437">
        <f t="shared" si="85"/>
        <v>24350936</v>
      </c>
      <c r="P229" s="437">
        <f t="shared" si="85"/>
        <v>25303412</v>
      </c>
      <c r="Q229" s="437">
        <f t="shared" si="85"/>
        <v>26364663</v>
      </c>
      <c r="R229" s="437">
        <f t="shared" si="85"/>
        <v>27335503.420000002</v>
      </c>
      <c r="S229" s="437">
        <f t="shared" si="85"/>
        <v>0</v>
      </c>
      <c r="T229" s="437">
        <f t="shared" si="85"/>
        <v>0</v>
      </c>
      <c r="U229" s="437">
        <f t="shared" si="85"/>
        <v>0</v>
      </c>
      <c r="V229" s="437">
        <f t="shared" si="85"/>
        <v>0</v>
      </c>
      <c r="W229" s="437">
        <f t="shared" si="85"/>
        <v>0</v>
      </c>
      <c r="X229" s="437">
        <f t="shared" si="85"/>
        <v>0</v>
      </c>
      <c r="Y229" s="437">
        <f t="shared" si="85"/>
        <v>0</v>
      </c>
      <c r="Z229" s="437">
        <f t="shared" si="85"/>
        <v>0</v>
      </c>
      <c r="AA229" s="437">
        <f t="shared" si="85"/>
        <v>0</v>
      </c>
      <c r="AB229" s="437">
        <f t="shared" si="85"/>
        <v>0</v>
      </c>
      <c r="AC229" s="437">
        <f t="shared" si="85"/>
        <v>0</v>
      </c>
      <c r="AD229" s="437">
        <f t="shared" si="85"/>
        <v>0</v>
      </c>
      <c r="AE229" s="437">
        <f t="shared" si="85"/>
        <v>0</v>
      </c>
      <c r="AF229" s="437">
        <f t="shared" si="85"/>
        <v>0</v>
      </c>
      <c r="AG229" s="437">
        <f t="shared" si="85"/>
        <v>0</v>
      </c>
      <c r="AH229" s="437">
        <f t="shared" si="85"/>
        <v>0</v>
      </c>
      <c r="AI229" s="437">
        <f t="shared" si="85"/>
        <v>0</v>
      </c>
      <c r="AJ229" s="437">
        <f t="shared" si="85"/>
        <v>0</v>
      </c>
      <c r="AK229" s="437">
        <f t="shared" si="85"/>
        <v>0</v>
      </c>
      <c r="AL229" s="438">
        <f t="shared" si="85"/>
        <v>0</v>
      </c>
      <c r="AM229" s="323"/>
    </row>
    <row r="230" spans="2:39" ht="15" hidden="1" outlineLevel="2">
      <c r="B230" s="390"/>
      <c r="C230" s="391"/>
      <c r="D230" s="399" t="s">
        <v>602</v>
      </c>
      <c r="E230" s="457">
        <f t="shared" ref="E230:AL230" si="86">+E9-E73</f>
        <v>14435650.119999999</v>
      </c>
      <c r="F230" s="458">
        <f t="shared" si="86"/>
        <v>16805085.43</v>
      </c>
      <c r="G230" s="458">
        <f t="shared" si="86"/>
        <v>18285411.689999998</v>
      </c>
      <c r="H230" s="459">
        <f t="shared" si="86"/>
        <v>17004529.16</v>
      </c>
      <c r="I230" s="436">
        <f t="shared" si="86"/>
        <v>18790642.27</v>
      </c>
      <c r="J230" s="437">
        <f t="shared" si="86"/>
        <v>19507485</v>
      </c>
      <c r="K230" s="437">
        <f t="shared" si="86"/>
        <v>20523927</v>
      </c>
      <c r="L230" s="437">
        <f t="shared" si="86"/>
        <v>21408480</v>
      </c>
      <c r="M230" s="437">
        <f t="shared" si="86"/>
        <v>22315260</v>
      </c>
      <c r="N230" s="437">
        <f t="shared" si="86"/>
        <v>23375900</v>
      </c>
      <c r="O230" s="437">
        <f t="shared" si="86"/>
        <v>24310936</v>
      </c>
      <c r="P230" s="437">
        <f t="shared" si="86"/>
        <v>25283412</v>
      </c>
      <c r="Q230" s="437">
        <f t="shared" si="86"/>
        <v>26294663</v>
      </c>
      <c r="R230" s="437">
        <f t="shared" si="86"/>
        <v>27305503.420000002</v>
      </c>
      <c r="S230" s="437">
        <f t="shared" si="86"/>
        <v>0</v>
      </c>
      <c r="T230" s="437">
        <f t="shared" si="86"/>
        <v>0</v>
      </c>
      <c r="U230" s="437">
        <f t="shared" si="86"/>
        <v>0</v>
      </c>
      <c r="V230" s="437">
        <f t="shared" si="86"/>
        <v>0</v>
      </c>
      <c r="W230" s="437">
        <f t="shared" si="86"/>
        <v>0</v>
      </c>
      <c r="X230" s="437">
        <f t="shared" si="86"/>
        <v>0</v>
      </c>
      <c r="Y230" s="437">
        <f t="shared" si="86"/>
        <v>0</v>
      </c>
      <c r="Z230" s="437">
        <f t="shared" si="86"/>
        <v>0</v>
      </c>
      <c r="AA230" s="437">
        <f t="shared" si="86"/>
        <v>0</v>
      </c>
      <c r="AB230" s="437">
        <f t="shared" si="86"/>
        <v>0</v>
      </c>
      <c r="AC230" s="437">
        <f t="shared" si="86"/>
        <v>0</v>
      </c>
      <c r="AD230" s="437">
        <f t="shared" si="86"/>
        <v>0</v>
      </c>
      <c r="AE230" s="437">
        <f t="shared" si="86"/>
        <v>0</v>
      </c>
      <c r="AF230" s="437">
        <f t="shared" si="86"/>
        <v>0</v>
      </c>
      <c r="AG230" s="437">
        <f t="shared" si="86"/>
        <v>0</v>
      </c>
      <c r="AH230" s="437">
        <f t="shared" si="86"/>
        <v>0</v>
      </c>
      <c r="AI230" s="437">
        <f t="shared" si="86"/>
        <v>0</v>
      </c>
      <c r="AJ230" s="437">
        <f t="shared" si="86"/>
        <v>0</v>
      </c>
      <c r="AK230" s="437">
        <f t="shared" si="86"/>
        <v>0</v>
      </c>
      <c r="AL230" s="438">
        <f t="shared" si="86"/>
        <v>0</v>
      </c>
      <c r="AM230" s="323"/>
    </row>
    <row r="231" spans="2:39" ht="15" hidden="1" outlineLevel="2">
      <c r="B231" s="390"/>
      <c r="C231" s="391"/>
      <c r="D231" s="399" t="s">
        <v>603</v>
      </c>
      <c r="E231" s="457">
        <f t="shared" ref="E231:AL231" si="87">+E16-E76</f>
        <v>1653561.5100000002</v>
      </c>
      <c r="F231" s="458">
        <f t="shared" si="87"/>
        <v>576172.85999999987</v>
      </c>
      <c r="G231" s="458">
        <f t="shared" si="87"/>
        <v>3434970</v>
      </c>
      <c r="H231" s="459">
        <f t="shared" si="87"/>
        <v>1170996.9500000002</v>
      </c>
      <c r="I231" s="436">
        <f t="shared" si="87"/>
        <v>2273764</v>
      </c>
      <c r="J231" s="437">
        <f t="shared" si="87"/>
        <v>1617299</v>
      </c>
      <c r="K231" s="437">
        <f t="shared" si="87"/>
        <v>1147000</v>
      </c>
      <c r="L231" s="437">
        <f t="shared" si="87"/>
        <v>1149000</v>
      </c>
      <c r="M231" s="437">
        <f t="shared" si="87"/>
        <v>327500</v>
      </c>
      <c r="N231" s="437">
        <f t="shared" si="87"/>
        <v>66200</v>
      </c>
      <c r="O231" s="437">
        <f t="shared" si="87"/>
        <v>40000</v>
      </c>
      <c r="P231" s="437">
        <f t="shared" si="87"/>
        <v>20000</v>
      </c>
      <c r="Q231" s="437">
        <f t="shared" si="87"/>
        <v>70000</v>
      </c>
      <c r="R231" s="437">
        <f t="shared" si="87"/>
        <v>30000</v>
      </c>
      <c r="S231" s="437">
        <f t="shared" si="87"/>
        <v>0</v>
      </c>
      <c r="T231" s="437">
        <f t="shared" si="87"/>
        <v>0</v>
      </c>
      <c r="U231" s="437">
        <f t="shared" si="87"/>
        <v>0</v>
      </c>
      <c r="V231" s="437">
        <f t="shared" si="87"/>
        <v>0</v>
      </c>
      <c r="W231" s="437">
        <f t="shared" si="87"/>
        <v>0</v>
      </c>
      <c r="X231" s="437">
        <f t="shared" si="87"/>
        <v>0</v>
      </c>
      <c r="Y231" s="437">
        <f t="shared" si="87"/>
        <v>0</v>
      </c>
      <c r="Z231" s="437">
        <f t="shared" si="87"/>
        <v>0</v>
      </c>
      <c r="AA231" s="437">
        <f t="shared" si="87"/>
        <v>0</v>
      </c>
      <c r="AB231" s="437">
        <f t="shared" si="87"/>
        <v>0</v>
      </c>
      <c r="AC231" s="437">
        <f t="shared" si="87"/>
        <v>0</v>
      </c>
      <c r="AD231" s="437">
        <f t="shared" si="87"/>
        <v>0</v>
      </c>
      <c r="AE231" s="437">
        <f t="shared" si="87"/>
        <v>0</v>
      </c>
      <c r="AF231" s="437">
        <f t="shared" si="87"/>
        <v>0</v>
      </c>
      <c r="AG231" s="437">
        <f t="shared" si="87"/>
        <v>0</v>
      </c>
      <c r="AH231" s="437">
        <f t="shared" si="87"/>
        <v>0</v>
      </c>
      <c r="AI231" s="437">
        <f t="shared" si="87"/>
        <v>0</v>
      </c>
      <c r="AJ231" s="437">
        <f t="shared" si="87"/>
        <v>0</v>
      </c>
      <c r="AK231" s="437">
        <f t="shared" si="87"/>
        <v>0</v>
      </c>
      <c r="AL231" s="438">
        <f t="shared" si="87"/>
        <v>0</v>
      </c>
      <c r="AM231" s="323"/>
    </row>
    <row r="232" spans="2:39" ht="24" hidden="1" outlineLevel="2">
      <c r="B232" s="390"/>
      <c r="C232" s="391"/>
      <c r="D232" s="399" t="s">
        <v>604</v>
      </c>
      <c r="E232" s="457">
        <f t="shared" ref="E232:AL232" si="88">+E16-E76-E17</f>
        <v>28004.860000000335</v>
      </c>
      <c r="F232" s="458">
        <f t="shared" si="88"/>
        <v>323259.5199999999</v>
      </c>
      <c r="G232" s="458">
        <f t="shared" si="88"/>
        <v>1385000</v>
      </c>
      <c r="H232" s="459">
        <f t="shared" si="88"/>
        <v>38949.000000000233</v>
      </c>
      <c r="I232" s="436">
        <f t="shared" si="88"/>
        <v>565366</v>
      </c>
      <c r="J232" s="437">
        <f t="shared" si="88"/>
        <v>217299</v>
      </c>
      <c r="K232" s="437">
        <f t="shared" si="88"/>
        <v>197000</v>
      </c>
      <c r="L232" s="437">
        <f t="shared" si="88"/>
        <v>299000</v>
      </c>
      <c r="M232" s="437">
        <f t="shared" si="88"/>
        <v>127500</v>
      </c>
      <c r="N232" s="437">
        <f t="shared" si="88"/>
        <v>66200</v>
      </c>
      <c r="O232" s="437">
        <f t="shared" si="88"/>
        <v>40000</v>
      </c>
      <c r="P232" s="437">
        <f t="shared" si="88"/>
        <v>20000</v>
      </c>
      <c r="Q232" s="437">
        <f t="shared" si="88"/>
        <v>70000</v>
      </c>
      <c r="R232" s="437">
        <f t="shared" si="88"/>
        <v>30000</v>
      </c>
      <c r="S232" s="437">
        <f t="shared" si="88"/>
        <v>0</v>
      </c>
      <c r="T232" s="437">
        <f t="shared" si="88"/>
        <v>0</v>
      </c>
      <c r="U232" s="437">
        <f t="shared" si="88"/>
        <v>0</v>
      </c>
      <c r="V232" s="437">
        <f t="shared" si="88"/>
        <v>0</v>
      </c>
      <c r="W232" s="437">
        <f t="shared" si="88"/>
        <v>0</v>
      </c>
      <c r="X232" s="437">
        <f t="shared" si="88"/>
        <v>0</v>
      </c>
      <c r="Y232" s="437">
        <f t="shared" si="88"/>
        <v>0</v>
      </c>
      <c r="Z232" s="437">
        <f t="shared" si="88"/>
        <v>0</v>
      </c>
      <c r="AA232" s="437">
        <f t="shared" si="88"/>
        <v>0</v>
      </c>
      <c r="AB232" s="437">
        <f t="shared" si="88"/>
        <v>0</v>
      </c>
      <c r="AC232" s="437">
        <f t="shared" si="88"/>
        <v>0</v>
      </c>
      <c r="AD232" s="437">
        <f t="shared" si="88"/>
        <v>0</v>
      </c>
      <c r="AE232" s="437">
        <f t="shared" si="88"/>
        <v>0</v>
      </c>
      <c r="AF232" s="437">
        <f t="shared" si="88"/>
        <v>0</v>
      </c>
      <c r="AG232" s="437">
        <f t="shared" si="88"/>
        <v>0</v>
      </c>
      <c r="AH232" s="437">
        <f t="shared" si="88"/>
        <v>0</v>
      </c>
      <c r="AI232" s="437">
        <f t="shared" si="88"/>
        <v>0</v>
      </c>
      <c r="AJ232" s="437">
        <f t="shared" si="88"/>
        <v>0</v>
      </c>
      <c r="AK232" s="437">
        <f t="shared" si="88"/>
        <v>0</v>
      </c>
      <c r="AL232" s="438">
        <f t="shared" si="88"/>
        <v>0</v>
      </c>
      <c r="AM232" s="323"/>
    </row>
    <row r="233" spans="2:39" ht="15" hidden="1" outlineLevel="2">
      <c r="B233" s="390"/>
      <c r="C233" s="391"/>
      <c r="D233" s="403" t="s">
        <v>605</v>
      </c>
      <c r="E233" s="460">
        <f t="shared" ref="E233:AL233" si="89">+E17</f>
        <v>1625556.65</v>
      </c>
      <c r="F233" s="461">
        <f t="shared" si="89"/>
        <v>252913.34</v>
      </c>
      <c r="G233" s="461">
        <f t="shared" si="89"/>
        <v>2049970</v>
      </c>
      <c r="H233" s="462">
        <f t="shared" si="89"/>
        <v>1132047.95</v>
      </c>
      <c r="I233" s="445">
        <f t="shared" si="89"/>
        <v>1708398</v>
      </c>
      <c r="J233" s="446">
        <f t="shared" si="89"/>
        <v>1400000</v>
      </c>
      <c r="K233" s="446">
        <f t="shared" si="89"/>
        <v>950000</v>
      </c>
      <c r="L233" s="446">
        <f t="shared" si="89"/>
        <v>850000</v>
      </c>
      <c r="M233" s="446">
        <f t="shared" si="89"/>
        <v>200000</v>
      </c>
      <c r="N233" s="446">
        <f t="shared" si="89"/>
        <v>0</v>
      </c>
      <c r="O233" s="446">
        <f t="shared" si="89"/>
        <v>0</v>
      </c>
      <c r="P233" s="446">
        <f t="shared" si="89"/>
        <v>0</v>
      </c>
      <c r="Q233" s="446">
        <f t="shared" si="89"/>
        <v>0</v>
      </c>
      <c r="R233" s="446">
        <f t="shared" si="89"/>
        <v>0</v>
      </c>
      <c r="S233" s="446">
        <f t="shared" si="89"/>
        <v>0</v>
      </c>
      <c r="T233" s="446">
        <f t="shared" si="89"/>
        <v>0</v>
      </c>
      <c r="U233" s="446">
        <f t="shared" si="89"/>
        <v>0</v>
      </c>
      <c r="V233" s="446">
        <f t="shared" si="89"/>
        <v>0</v>
      </c>
      <c r="W233" s="446">
        <f t="shared" si="89"/>
        <v>0</v>
      </c>
      <c r="X233" s="446">
        <f t="shared" si="89"/>
        <v>0</v>
      </c>
      <c r="Y233" s="446">
        <f t="shared" si="89"/>
        <v>0</v>
      </c>
      <c r="Z233" s="446">
        <f t="shared" si="89"/>
        <v>0</v>
      </c>
      <c r="AA233" s="446">
        <f t="shared" si="89"/>
        <v>0</v>
      </c>
      <c r="AB233" s="446">
        <f t="shared" si="89"/>
        <v>0</v>
      </c>
      <c r="AC233" s="446">
        <f t="shared" si="89"/>
        <v>0</v>
      </c>
      <c r="AD233" s="446">
        <f t="shared" si="89"/>
        <v>0</v>
      </c>
      <c r="AE233" s="446">
        <f t="shared" si="89"/>
        <v>0</v>
      </c>
      <c r="AF233" s="446">
        <f t="shared" si="89"/>
        <v>0</v>
      </c>
      <c r="AG233" s="446">
        <f t="shared" si="89"/>
        <v>0</v>
      </c>
      <c r="AH233" s="446">
        <f t="shared" si="89"/>
        <v>0</v>
      </c>
      <c r="AI233" s="446">
        <f t="shared" si="89"/>
        <v>0</v>
      </c>
      <c r="AJ233" s="446">
        <f t="shared" si="89"/>
        <v>0</v>
      </c>
      <c r="AK233" s="446">
        <f t="shared" si="89"/>
        <v>0</v>
      </c>
      <c r="AL233" s="447">
        <f t="shared" si="89"/>
        <v>0</v>
      </c>
      <c r="AM233" s="323"/>
    </row>
    <row r="234" spans="2:39" hidden="1" outlineLevel="2">
      <c r="B234" s="380"/>
      <c r="C234" s="381"/>
      <c r="D234" s="382" t="s">
        <v>230</v>
      </c>
      <c r="E234" s="454">
        <f t="shared" ref="E234:AL234" si="90">+E19</f>
        <v>18802683.050000001</v>
      </c>
      <c r="F234" s="455">
        <f t="shared" si="90"/>
        <v>24474004.48</v>
      </c>
      <c r="G234" s="455">
        <f t="shared" si="90"/>
        <v>23725361.149999999</v>
      </c>
      <c r="H234" s="456">
        <f t="shared" si="90"/>
        <v>19823836.719999999</v>
      </c>
      <c r="I234" s="430">
        <f t="shared" si="90"/>
        <v>20968123.27</v>
      </c>
      <c r="J234" s="431">
        <f t="shared" si="90"/>
        <v>19465954</v>
      </c>
      <c r="K234" s="431">
        <f t="shared" si="90"/>
        <v>20087517</v>
      </c>
      <c r="L234" s="431">
        <f t="shared" si="90"/>
        <v>21402070</v>
      </c>
      <c r="M234" s="431">
        <f t="shared" si="90"/>
        <v>21586850</v>
      </c>
      <c r="N234" s="431">
        <f t="shared" si="90"/>
        <v>22672490</v>
      </c>
      <c r="O234" s="431">
        <f t="shared" si="90"/>
        <v>23357526</v>
      </c>
      <c r="P234" s="431">
        <f t="shared" si="90"/>
        <v>26673396</v>
      </c>
      <c r="Q234" s="431">
        <f t="shared" si="90"/>
        <v>30035811</v>
      </c>
      <c r="R234" s="431">
        <f t="shared" si="90"/>
        <v>31546570</v>
      </c>
      <c r="S234" s="431">
        <f t="shared" si="90"/>
        <v>0</v>
      </c>
      <c r="T234" s="431">
        <f t="shared" si="90"/>
        <v>0</v>
      </c>
      <c r="U234" s="431">
        <f t="shared" si="90"/>
        <v>0</v>
      </c>
      <c r="V234" s="431">
        <f t="shared" si="90"/>
        <v>0</v>
      </c>
      <c r="W234" s="431">
        <f t="shared" si="90"/>
        <v>0</v>
      </c>
      <c r="X234" s="431">
        <f t="shared" si="90"/>
        <v>0</v>
      </c>
      <c r="Y234" s="431">
        <f t="shared" si="90"/>
        <v>0</v>
      </c>
      <c r="Z234" s="431">
        <f t="shared" si="90"/>
        <v>0</v>
      </c>
      <c r="AA234" s="431">
        <f t="shared" si="90"/>
        <v>0</v>
      </c>
      <c r="AB234" s="431">
        <f t="shared" si="90"/>
        <v>0</v>
      </c>
      <c r="AC234" s="431">
        <f t="shared" si="90"/>
        <v>0</v>
      </c>
      <c r="AD234" s="431">
        <f t="shared" si="90"/>
        <v>0</v>
      </c>
      <c r="AE234" s="431">
        <f t="shared" si="90"/>
        <v>0</v>
      </c>
      <c r="AF234" s="431">
        <f t="shared" si="90"/>
        <v>0</v>
      </c>
      <c r="AG234" s="431">
        <f t="shared" si="90"/>
        <v>0</v>
      </c>
      <c r="AH234" s="431">
        <f t="shared" si="90"/>
        <v>0</v>
      </c>
      <c r="AI234" s="431">
        <f t="shared" si="90"/>
        <v>0</v>
      </c>
      <c r="AJ234" s="431">
        <f t="shared" si="90"/>
        <v>0</v>
      </c>
      <c r="AK234" s="431">
        <f t="shared" si="90"/>
        <v>0</v>
      </c>
      <c r="AL234" s="432">
        <f t="shared" si="90"/>
        <v>0</v>
      </c>
      <c r="AM234" s="389"/>
    </row>
    <row r="235" spans="2:39" ht="24" hidden="1" outlineLevel="2">
      <c r="B235" s="390"/>
      <c r="C235" s="391"/>
      <c r="D235" s="410" t="s">
        <v>606</v>
      </c>
      <c r="E235" s="457">
        <f t="shared" ref="E235:AL235" si="91">+E19-E79-E82</f>
        <v>18802683.050000001</v>
      </c>
      <c r="F235" s="458">
        <f t="shared" si="91"/>
        <v>16807671.350000001</v>
      </c>
      <c r="G235" s="458">
        <f t="shared" si="91"/>
        <v>21411937.75</v>
      </c>
      <c r="H235" s="459">
        <f t="shared" si="91"/>
        <v>17816827.319999997</v>
      </c>
      <c r="I235" s="436">
        <f t="shared" si="91"/>
        <v>19108513.27</v>
      </c>
      <c r="J235" s="437">
        <f t="shared" si="91"/>
        <v>19078742</v>
      </c>
      <c r="K235" s="437">
        <f t="shared" si="91"/>
        <v>19450087</v>
      </c>
      <c r="L235" s="437">
        <f t="shared" si="91"/>
        <v>19892070</v>
      </c>
      <c r="M235" s="437">
        <f t="shared" si="91"/>
        <v>19801850</v>
      </c>
      <c r="N235" s="437">
        <f t="shared" si="91"/>
        <v>20325690</v>
      </c>
      <c r="O235" s="437">
        <f t="shared" si="91"/>
        <v>21607526</v>
      </c>
      <c r="P235" s="437">
        <f t="shared" si="91"/>
        <v>21999396</v>
      </c>
      <c r="Q235" s="437">
        <f t="shared" si="91"/>
        <v>21835811</v>
      </c>
      <c r="R235" s="437">
        <f t="shared" si="91"/>
        <v>22696570</v>
      </c>
      <c r="S235" s="437">
        <f t="shared" si="91"/>
        <v>0</v>
      </c>
      <c r="T235" s="437">
        <f t="shared" si="91"/>
        <v>0</v>
      </c>
      <c r="U235" s="437">
        <f t="shared" si="91"/>
        <v>0</v>
      </c>
      <c r="V235" s="437">
        <f t="shared" si="91"/>
        <v>0</v>
      </c>
      <c r="W235" s="437">
        <f t="shared" si="91"/>
        <v>0</v>
      </c>
      <c r="X235" s="437">
        <f t="shared" si="91"/>
        <v>0</v>
      </c>
      <c r="Y235" s="437">
        <f t="shared" si="91"/>
        <v>0</v>
      </c>
      <c r="Z235" s="437">
        <f t="shared" si="91"/>
        <v>0</v>
      </c>
      <c r="AA235" s="437">
        <f t="shared" si="91"/>
        <v>0</v>
      </c>
      <c r="AB235" s="437">
        <f t="shared" si="91"/>
        <v>0</v>
      </c>
      <c r="AC235" s="437">
        <f t="shared" si="91"/>
        <v>0</v>
      </c>
      <c r="AD235" s="437">
        <f t="shared" si="91"/>
        <v>0</v>
      </c>
      <c r="AE235" s="437">
        <f t="shared" si="91"/>
        <v>0</v>
      </c>
      <c r="AF235" s="437">
        <f t="shared" si="91"/>
        <v>0</v>
      </c>
      <c r="AG235" s="437">
        <f t="shared" si="91"/>
        <v>0</v>
      </c>
      <c r="AH235" s="437">
        <f t="shared" si="91"/>
        <v>0</v>
      </c>
      <c r="AI235" s="437">
        <f t="shared" si="91"/>
        <v>0</v>
      </c>
      <c r="AJ235" s="437">
        <f t="shared" si="91"/>
        <v>0</v>
      </c>
      <c r="AK235" s="437">
        <f t="shared" si="91"/>
        <v>0</v>
      </c>
      <c r="AL235" s="438">
        <f t="shared" si="91"/>
        <v>0</v>
      </c>
      <c r="AM235" s="323"/>
    </row>
    <row r="236" spans="2:39" hidden="1" outlineLevel="2">
      <c r="B236" s="380"/>
      <c r="C236" s="381"/>
      <c r="D236" s="411" t="s">
        <v>607</v>
      </c>
      <c r="E236" s="463">
        <f t="shared" ref="E236:AL236" si="92">+E20</f>
        <v>13267074.91</v>
      </c>
      <c r="F236" s="464">
        <f t="shared" si="92"/>
        <v>15684142.16</v>
      </c>
      <c r="G236" s="464">
        <f t="shared" si="92"/>
        <v>18080461.149999999</v>
      </c>
      <c r="H236" s="465">
        <f t="shared" si="92"/>
        <v>16022654.210000001</v>
      </c>
      <c r="I236" s="451">
        <f t="shared" si="92"/>
        <v>16925787.27</v>
      </c>
      <c r="J236" s="452">
        <f t="shared" si="92"/>
        <v>17529326</v>
      </c>
      <c r="K236" s="452">
        <f t="shared" si="92"/>
        <v>17879900</v>
      </c>
      <c r="L236" s="452">
        <f t="shared" si="92"/>
        <v>18271589</v>
      </c>
      <c r="M236" s="452">
        <f t="shared" si="92"/>
        <v>18691850</v>
      </c>
      <c r="N236" s="452">
        <f t="shared" si="92"/>
        <v>19065690</v>
      </c>
      <c r="O236" s="452">
        <f t="shared" si="92"/>
        <v>19438090</v>
      </c>
      <c r="P236" s="452">
        <f t="shared" si="92"/>
        <v>19826850</v>
      </c>
      <c r="Q236" s="452">
        <f t="shared" si="92"/>
        <v>20223387</v>
      </c>
      <c r="R236" s="452">
        <f t="shared" si="92"/>
        <v>20627900</v>
      </c>
      <c r="S236" s="452">
        <f t="shared" si="92"/>
        <v>0</v>
      </c>
      <c r="T236" s="452">
        <f t="shared" si="92"/>
        <v>0</v>
      </c>
      <c r="U236" s="452">
        <f t="shared" si="92"/>
        <v>0</v>
      </c>
      <c r="V236" s="452">
        <f t="shared" si="92"/>
        <v>0</v>
      </c>
      <c r="W236" s="452">
        <f t="shared" si="92"/>
        <v>0</v>
      </c>
      <c r="X236" s="452">
        <f t="shared" si="92"/>
        <v>0</v>
      </c>
      <c r="Y236" s="452">
        <f t="shared" si="92"/>
        <v>0</v>
      </c>
      <c r="Z236" s="452">
        <f t="shared" si="92"/>
        <v>0</v>
      </c>
      <c r="AA236" s="452">
        <f t="shared" si="92"/>
        <v>0</v>
      </c>
      <c r="AB236" s="452">
        <f t="shared" si="92"/>
        <v>0</v>
      </c>
      <c r="AC236" s="452">
        <f t="shared" si="92"/>
        <v>0</v>
      </c>
      <c r="AD236" s="452">
        <f t="shared" si="92"/>
        <v>0</v>
      </c>
      <c r="AE236" s="452">
        <f t="shared" si="92"/>
        <v>0</v>
      </c>
      <c r="AF236" s="452">
        <f t="shared" si="92"/>
        <v>0</v>
      </c>
      <c r="AG236" s="452">
        <f t="shared" si="92"/>
        <v>0</v>
      </c>
      <c r="AH236" s="452">
        <f t="shared" si="92"/>
        <v>0</v>
      </c>
      <c r="AI236" s="452">
        <f t="shared" si="92"/>
        <v>0</v>
      </c>
      <c r="AJ236" s="452">
        <f t="shared" si="92"/>
        <v>0</v>
      </c>
      <c r="AK236" s="452">
        <f t="shared" si="92"/>
        <v>0</v>
      </c>
      <c r="AL236" s="453">
        <f t="shared" si="92"/>
        <v>0</v>
      </c>
      <c r="AM236" s="389"/>
    </row>
    <row r="237" spans="2:39" ht="24" hidden="1" outlineLevel="2">
      <c r="B237" s="390"/>
      <c r="C237" s="391"/>
      <c r="D237" s="399" t="s">
        <v>608</v>
      </c>
      <c r="E237" s="457">
        <f t="shared" ref="E237:AL237" si="93">+E20-E79</f>
        <v>13267074.91</v>
      </c>
      <c r="F237" s="458">
        <f t="shared" si="93"/>
        <v>14912545.640000001</v>
      </c>
      <c r="G237" s="458">
        <f t="shared" si="93"/>
        <v>17449633.75</v>
      </c>
      <c r="H237" s="459">
        <f t="shared" si="93"/>
        <v>15393049</v>
      </c>
      <c r="I237" s="436">
        <f t="shared" si="93"/>
        <v>16291369.27</v>
      </c>
      <c r="J237" s="437">
        <f t="shared" si="93"/>
        <v>17242114</v>
      </c>
      <c r="K237" s="437">
        <f t="shared" si="93"/>
        <v>17769900</v>
      </c>
      <c r="L237" s="437">
        <f t="shared" si="93"/>
        <v>18161589</v>
      </c>
      <c r="M237" s="437">
        <f t="shared" si="93"/>
        <v>18631850</v>
      </c>
      <c r="N237" s="437">
        <f t="shared" si="93"/>
        <v>19005690</v>
      </c>
      <c r="O237" s="437">
        <f t="shared" si="93"/>
        <v>19438090</v>
      </c>
      <c r="P237" s="437">
        <f t="shared" si="93"/>
        <v>19826850</v>
      </c>
      <c r="Q237" s="437">
        <f t="shared" si="93"/>
        <v>20223387</v>
      </c>
      <c r="R237" s="437">
        <f t="shared" si="93"/>
        <v>20627900</v>
      </c>
      <c r="S237" s="437">
        <f t="shared" si="93"/>
        <v>0</v>
      </c>
      <c r="T237" s="437">
        <f t="shared" si="93"/>
        <v>0</v>
      </c>
      <c r="U237" s="437">
        <f t="shared" si="93"/>
        <v>0</v>
      </c>
      <c r="V237" s="437">
        <f t="shared" si="93"/>
        <v>0</v>
      </c>
      <c r="W237" s="437">
        <f t="shared" si="93"/>
        <v>0</v>
      </c>
      <c r="X237" s="437">
        <f t="shared" si="93"/>
        <v>0</v>
      </c>
      <c r="Y237" s="437">
        <f t="shared" si="93"/>
        <v>0</v>
      </c>
      <c r="Z237" s="437">
        <f t="shared" si="93"/>
        <v>0</v>
      </c>
      <c r="AA237" s="437">
        <f t="shared" si="93"/>
        <v>0</v>
      </c>
      <c r="AB237" s="437">
        <f t="shared" si="93"/>
        <v>0</v>
      </c>
      <c r="AC237" s="437">
        <f t="shared" si="93"/>
        <v>0</v>
      </c>
      <c r="AD237" s="437">
        <f t="shared" si="93"/>
        <v>0</v>
      </c>
      <c r="AE237" s="437">
        <f t="shared" si="93"/>
        <v>0</v>
      </c>
      <c r="AF237" s="437">
        <f t="shared" si="93"/>
        <v>0</v>
      </c>
      <c r="AG237" s="437">
        <f t="shared" si="93"/>
        <v>0</v>
      </c>
      <c r="AH237" s="437">
        <f t="shared" si="93"/>
        <v>0</v>
      </c>
      <c r="AI237" s="437">
        <f t="shared" si="93"/>
        <v>0</v>
      </c>
      <c r="AJ237" s="437">
        <f t="shared" si="93"/>
        <v>0</v>
      </c>
      <c r="AK237" s="437">
        <f t="shared" si="93"/>
        <v>0</v>
      </c>
      <c r="AL237" s="438">
        <f t="shared" si="93"/>
        <v>0</v>
      </c>
      <c r="AM237" s="323"/>
    </row>
    <row r="238" spans="2:39" ht="15" hidden="1" outlineLevel="2">
      <c r="B238" s="390"/>
      <c r="C238" s="391"/>
      <c r="D238" s="399" t="s">
        <v>609</v>
      </c>
      <c r="E238" s="457">
        <f>+E64</f>
        <v>5888275.54</v>
      </c>
      <c r="F238" s="458">
        <f>+F64</f>
        <v>6513898.96</v>
      </c>
      <c r="G238" s="458">
        <f>+G64</f>
        <v>6919615.9000000004</v>
      </c>
      <c r="H238" s="459">
        <f>+H64</f>
        <v>6622241.0899999999</v>
      </c>
      <c r="I238" s="436">
        <f>+I64</f>
        <v>6621316.3200000003</v>
      </c>
      <c r="J238" s="437">
        <f t="shared" ref="J238:AL238" si="94">+J64</f>
        <v>6785825</v>
      </c>
      <c r="K238" s="437">
        <f t="shared" si="94"/>
        <v>6921542</v>
      </c>
      <c r="L238" s="437">
        <f t="shared" si="94"/>
        <v>7059980</v>
      </c>
      <c r="M238" s="437">
        <f t="shared" si="94"/>
        <v>0</v>
      </c>
      <c r="N238" s="437">
        <f t="shared" si="94"/>
        <v>0</v>
      </c>
      <c r="O238" s="437">
        <f t="shared" si="94"/>
        <v>0</v>
      </c>
      <c r="P238" s="437">
        <f t="shared" si="94"/>
        <v>0</v>
      </c>
      <c r="Q238" s="437">
        <f t="shared" si="94"/>
        <v>0</v>
      </c>
      <c r="R238" s="437">
        <f t="shared" si="94"/>
        <v>0</v>
      </c>
      <c r="S238" s="437">
        <f t="shared" si="94"/>
        <v>0</v>
      </c>
      <c r="T238" s="437">
        <f t="shared" si="94"/>
        <v>0</v>
      </c>
      <c r="U238" s="437">
        <f t="shared" si="94"/>
        <v>0</v>
      </c>
      <c r="V238" s="437">
        <f t="shared" si="94"/>
        <v>0</v>
      </c>
      <c r="W238" s="437">
        <f t="shared" si="94"/>
        <v>0</v>
      </c>
      <c r="X238" s="437">
        <f t="shared" si="94"/>
        <v>0</v>
      </c>
      <c r="Y238" s="437">
        <f t="shared" si="94"/>
        <v>0</v>
      </c>
      <c r="Z238" s="437">
        <f t="shared" si="94"/>
        <v>0</v>
      </c>
      <c r="AA238" s="437">
        <f t="shared" si="94"/>
        <v>0</v>
      </c>
      <c r="AB238" s="437">
        <f t="shared" si="94"/>
        <v>0</v>
      </c>
      <c r="AC238" s="437">
        <f t="shared" si="94"/>
        <v>0</v>
      </c>
      <c r="AD238" s="437">
        <f t="shared" si="94"/>
        <v>0</v>
      </c>
      <c r="AE238" s="437">
        <f t="shared" si="94"/>
        <v>0</v>
      </c>
      <c r="AF238" s="437">
        <f t="shared" si="94"/>
        <v>0</v>
      </c>
      <c r="AG238" s="437">
        <f t="shared" si="94"/>
        <v>0</v>
      </c>
      <c r="AH238" s="437">
        <f t="shared" si="94"/>
        <v>0</v>
      </c>
      <c r="AI238" s="437">
        <f t="shared" si="94"/>
        <v>0</v>
      </c>
      <c r="AJ238" s="437">
        <f t="shared" si="94"/>
        <v>0</v>
      </c>
      <c r="AK238" s="437">
        <f t="shared" si="94"/>
        <v>0</v>
      </c>
      <c r="AL238" s="438">
        <f t="shared" si="94"/>
        <v>0</v>
      </c>
      <c r="AM238" s="323"/>
    </row>
    <row r="239" spans="2:39" ht="48" hidden="1" outlineLevel="2">
      <c r="B239" s="390"/>
      <c r="C239" s="391"/>
      <c r="D239" s="403" t="s">
        <v>610</v>
      </c>
      <c r="E239" s="460">
        <f t="shared" ref="E239:AL239" si="95">+E20-E21-E24-E64-E65</f>
        <v>6672075.0300000003</v>
      </c>
      <c r="F239" s="461">
        <f t="shared" si="95"/>
        <v>5320156.9400000004</v>
      </c>
      <c r="G239" s="461">
        <f t="shared" si="95"/>
        <v>7018135.2499999981</v>
      </c>
      <c r="H239" s="462">
        <f t="shared" si="95"/>
        <v>5682728.8200000022</v>
      </c>
      <c r="I239" s="445">
        <f t="shared" si="95"/>
        <v>6430129.9499999993</v>
      </c>
      <c r="J239" s="446">
        <f t="shared" si="95"/>
        <v>6903213</v>
      </c>
      <c r="K239" s="446">
        <f t="shared" si="95"/>
        <v>7164857</v>
      </c>
      <c r="L239" s="446">
        <f t="shared" si="95"/>
        <v>7457096</v>
      </c>
      <c r="M239" s="446">
        <f t="shared" si="95"/>
        <v>18288180</v>
      </c>
      <c r="N239" s="446">
        <f t="shared" si="95"/>
        <v>18786083</v>
      </c>
      <c r="O239" s="446">
        <f t="shared" si="95"/>
        <v>19270847</v>
      </c>
      <c r="P239" s="446">
        <f t="shared" si="95"/>
        <v>19766533</v>
      </c>
      <c r="Q239" s="446">
        <f t="shared" si="95"/>
        <v>20210107</v>
      </c>
      <c r="R239" s="446">
        <f t="shared" si="95"/>
        <v>20621240</v>
      </c>
      <c r="S239" s="446">
        <f t="shared" si="95"/>
        <v>0</v>
      </c>
      <c r="T239" s="446">
        <f t="shared" si="95"/>
        <v>0</v>
      </c>
      <c r="U239" s="446">
        <f t="shared" si="95"/>
        <v>0</v>
      </c>
      <c r="V239" s="446">
        <f t="shared" si="95"/>
        <v>0</v>
      </c>
      <c r="W239" s="446">
        <f t="shared" si="95"/>
        <v>0</v>
      </c>
      <c r="X239" s="446">
        <f t="shared" si="95"/>
        <v>0</v>
      </c>
      <c r="Y239" s="446">
        <f t="shared" si="95"/>
        <v>0</v>
      </c>
      <c r="Z239" s="446">
        <f t="shared" si="95"/>
        <v>0</v>
      </c>
      <c r="AA239" s="446">
        <f t="shared" si="95"/>
        <v>0</v>
      </c>
      <c r="AB239" s="446">
        <f t="shared" si="95"/>
        <v>0</v>
      </c>
      <c r="AC239" s="446">
        <f t="shared" si="95"/>
        <v>0</v>
      </c>
      <c r="AD239" s="446">
        <f t="shared" si="95"/>
        <v>0</v>
      </c>
      <c r="AE239" s="446">
        <f t="shared" si="95"/>
        <v>0</v>
      </c>
      <c r="AF239" s="446">
        <f t="shared" si="95"/>
        <v>0</v>
      </c>
      <c r="AG239" s="446">
        <f t="shared" si="95"/>
        <v>0</v>
      </c>
      <c r="AH239" s="446">
        <f t="shared" si="95"/>
        <v>0</v>
      </c>
      <c r="AI239" s="446">
        <f t="shared" si="95"/>
        <v>0</v>
      </c>
      <c r="AJ239" s="446">
        <f t="shared" si="95"/>
        <v>0</v>
      </c>
      <c r="AK239" s="446">
        <f t="shared" si="95"/>
        <v>0</v>
      </c>
      <c r="AL239" s="447">
        <f t="shared" si="95"/>
        <v>0</v>
      </c>
      <c r="AM239" s="323"/>
    </row>
    <row r="240" spans="2:39" hidden="1" outlineLevel="2">
      <c r="D240" s="466"/>
      <c r="E240" s="467"/>
      <c r="F240" s="467"/>
      <c r="G240" s="467"/>
      <c r="H240" s="467"/>
      <c r="I240" s="468"/>
      <c r="J240" s="468"/>
      <c r="K240" s="468"/>
      <c r="L240" s="468"/>
      <c r="M240" s="468"/>
      <c r="N240" s="468"/>
      <c r="O240" s="468"/>
      <c r="P240" s="468"/>
      <c r="Q240" s="468"/>
      <c r="R240" s="468"/>
      <c r="S240" s="468"/>
      <c r="T240" s="468"/>
      <c r="U240" s="468"/>
      <c r="V240" s="468"/>
      <c r="W240" s="468"/>
      <c r="X240" s="468"/>
      <c r="Y240" s="468"/>
      <c r="Z240" s="468"/>
      <c r="AA240" s="468"/>
      <c r="AB240" s="468"/>
      <c r="AC240" s="468"/>
      <c r="AD240" s="468"/>
      <c r="AE240" s="468"/>
      <c r="AF240" s="468"/>
      <c r="AG240" s="468"/>
      <c r="AH240" s="468"/>
      <c r="AI240" s="468"/>
      <c r="AJ240" s="468"/>
      <c r="AK240" s="468"/>
      <c r="AL240" s="468"/>
    </row>
  </sheetData>
  <sheetProtection formatCells="0" formatColumns="0" formatRows="0" insertColumns="0" deleteColumns="0"/>
  <autoFilter ref="A7:A108"/>
  <mergeCells count="3">
    <mergeCell ref="E6:F6"/>
    <mergeCell ref="B5:R5"/>
    <mergeCell ref="M2:R2"/>
  </mergeCells>
  <conditionalFormatting sqref="I59:AL60">
    <cfRule type="expression" dxfId="17" priority="18" stopIfTrue="1">
      <formula>LEFT(I59,3)="Nie"</formula>
    </cfRule>
  </conditionalFormatting>
  <conditionalFormatting sqref="I202:AL213">
    <cfRule type="cellIs" dxfId="16" priority="15" stopIfTrue="1" operator="notBetween">
      <formula>-$D$201</formula>
      <formula>$D$201</formula>
    </cfRule>
    <cfRule type="cellIs" dxfId="15" priority="16" stopIfTrue="1" operator="notBetween">
      <formula>-$D$200</formula>
      <formula>$D$200</formula>
    </cfRule>
    <cfRule type="cellIs" dxfId="14" priority="17" stopIfTrue="1" operator="notBetween">
      <formula>-$D$199</formula>
      <formula>$D$199</formula>
    </cfRule>
  </conditionalFormatting>
  <conditionalFormatting sqref="I127:AL127">
    <cfRule type="cellIs" dxfId="13" priority="14" stopIfTrue="1" operator="between">
      <formula>0</formula>
      <formula>1000000000000</formula>
    </cfRule>
  </conditionalFormatting>
  <conditionalFormatting sqref="I128:AL130">
    <cfRule type="cellIs" dxfId="12" priority="13" stopIfTrue="1" operator="between">
      <formula>-1000000000000</formula>
      <formula>1000000000000</formula>
    </cfRule>
  </conditionalFormatting>
  <conditionalFormatting sqref="I125:AL126">
    <cfRule type="cellIs" dxfId="11" priority="12" stopIfTrue="1" operator="between">
      <formula>-1000000000000</formula>
      <formula>1000000000000</formula>
    </cfRule>
  </conditionalFormatting>
  <conditionalFormatting sqref="I131:AL139 I141:AL148 I153:AL155 I161:AL180 I157:AL159">
    <cfRule type="cellIs" dxfId="10" priority="11" stopIfTrue="1" operator="equal">
      <formula>"BŁĄD"</formula>
    </cfRule>
  </conditionalFormatting>
  <conditionalFormatting sqref="I194:AL197">
    <cfRule type="cellIs" dxfId="9" priority="8" stopIfTrue="1" operator="lessThan">
      <formula>$D$191</formula>
    </cfRule>
    <cfRule type="cellIs" dxfId="8" priority="9" stopIfTrue="1" operator="lessThan">
      <formula>$D$192</formula>
    </cfRule>
    <cfRule type="cellIs" dxfId="7" priority="10" stopIfTrue="1" operator="lessThan">
      <formula>$D$193</formula>
    </cfRule>
  </conditionalFormatting>
  <conditionalFormatting sqref="I140:AL140">
    <cfRule type="cellIs" dxfId="6" priority="7" stopIfTrue="1" operator="equal">
      <formula>"BŁĄD"</formula>
    </cfRule>
  </conditionalFormatting>
  <conditionalFormatting sqref="I149:AL149">
    <cfRule type="cellIs" dxfId="5" priority="6" stopIfTrue="1" operator="equal">
      <formula>"BŁĄD"</formula>
    </cfRule>
  </conditionalFormatting>
  <conditionalFormatting sqref="I150:AL150">
    <cfRule type="cellIs" dxfId="4" priority="5" stopIfTrue="1" operator="equal">
      <formula>"BŁĄD"</formula>
    </cfRule>
  </conditionalFormatting>
  <conditionalFormatting sqref="I151:AL151">
    <cfRule type="cellIs" dxfId="3" priority="4" stopIfTrue="1" operator="equal">
      <formula>"BŁĄD"</formula>
    </cfRule>
  </conditionalFormatting>
  <conditionalFormatting sqref="I152:AL152">
    <cfRule type="cellIs" dxfId="2" priority="3" stopIfTrue="1" operator="equal">
      <formula>"BŁĄD"</formula>
    </cfRule>
  </conditionalFormatting>
  <conditionalFormatting sqref="I160:AL160">
    <cfRule type="cellIs" dxfId="1" priority="2" stopIfTrue="1" operator="equal">
      <formula>"BŁĄD"</formula>
    </cfRule>
  </conditionalFormatting>
  <conditionalFormatting sqref="I156:AL156">
    <cfRule type="cellIs" dxfId="0" priority="1" stopIfTrue="1" operator="equal">
      <formula>"BŁĄD"</formula>
    </cfRule>
  </conditionalFormatting>
  <pageMargins left="0.23622047244094491" right="0.15748031496062992" top="0.31" bottom="0.39370078740157483" header="0.15748031496062992" footer="0.15748031496062992"/>
  <pageSetup paperSize="9" scale="70" orientation="landscape" blackAndWhite="1" horizontalDpi="4294967293" verticalDpi="4294967293" r:id="rId1"/>
  <headerFooter>
    <oddFooter>&amp;L&amp;"Czcionka tekstu podstawowego,Kursywa"&amp;8Wersja szablonu wydruku: 2014-01-23a&amp;C&amp;8Strona &amp;P z &amp;N&amp;R&amp;8Wydruk z dn.: &amp;D - &amp;T</oddFooter>
  </headerFooter>
  <rowBreaks count="3" manualBreakCount="3">
    <brk id="42" min="1" max="17" man="1"/>
    <brk id="60" min="1" max="17" man="1"/>
    <brk id="88" min="1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U118"/>
  <sheetViews>
    <sheetView tabSelected="1" zoomScaleSheetLayoutView="61" workbookViewId="0">
      <pane ySplit="6" topLeftCell="A7" activePane="bottomLeft" state="frozen"/>
      <selection pane="bottomLeft" activeCell="T5" sqref="T5"/>
    </sheetView>
  </sheetViews>
  <sheetFormatPr defaultColWidth="9.140625" defaultRowHeight="14.25"/>
  <cols>
    <col min="1" max="1" width="6.7109375" style="1" customWidth="1"/>
    <col min="2" max="2" width="24.7109375" style="1" customWidth="1"/>
    <col min="3" max="3" width="13.5703125" style="1" customWidth="1"/>
    <col min="4" max="4" width="5.5703125" style="1" customWidth="1"/>
    <col min="5" max="5" width="6.140625" style="1" customWidth="1"/>
    <col min="6" max="6" width="12.28515625" style="1" customWidth="1"/>
    <col min="7" max="7" width="12.28515625" style="1" hidden="1" customWidth="1"/>
    <col min="8" max="8" width="11" style="1" hidden="1" customWidth="1"/>
    <col min="9" max="9" width="11.5703125" style="1" customWidth="1"/>
    <col min="10" max="10" width="11.140625" style="1" customWidth="1"/>
    <col min="11" max="16" width="11.28515625" style="1" customWidth="1"/>
    <col min="17" max="17" width="11" style="1" customWidth="1"/>
    <col min="18" max="18" width="11.7109375" style="1" customWidth="1"/>
    <col min="19" max="19" width="12" style="1" customWidth="1"/>
    <col min="20" max="20" width="12.5703125" style="1" bestFit="1" customWidth="1"/>
    <col min="21" max="256" width="9.140625" style="1"/>
    <col min="257" max="257" width="6.7109375" style="1" customWidth="1"/>
    <col min="258" max="258" width="25.140625" style="1" customWidth="1"/>
    <col min="259" max="259" width="16.42578125" style="1" customWidth="1"/>
    <col min="260" max="261" width="6.5703125" style="1" customWidth="1"/>
    <col min="262" max="262" width="13.42578125" style="1" customWidth="1"/>
    <col min="263" max="263" width="0" style="1" hidden="1" customWidth="1"/>
    <col min="264" max="264" width="11.5703125" style="1" customWidth="1"/>
    <col min="265" max="265" width="11.28515625" style="1" customWidth="1"/>
    <col min="266" max="266" width="11.140625" style="1" customWidth="1"/>
    <col min="267" max="272" width="11.28515625" style="1" customWidth="1"/>
    <col min="273" max="273" width="10.85546875" style="1" customWidth="1"/>
    <col min="274" max="274" width="11.28515625" style="1" customWidth="1"/>
    <col min="275" max="275" width="13" style="1" customWidth="1"/>
    <col min="276" max="512" width="9.140625" style="1"/>
    <col min="513" max="513" width="6.7109375" style="1" customWidth="1"/>
    <col min="514" max="514" width="25.140625" style="1" customWidth="1"/>
    <col min="515" max="515" width="16.42578125" style="1" customWidth="1"/>
    <col min="516" max="517" width="6.5703125" style="1" customWidth="1"/>
    <col min="518" max="518" width="13.42578125" style="1" customWidth="1"/>
    <col min="519" max="519" width="0" style="1" hidden="1" customWidth="1"/>
    <col min="520" max="520" width="11.5703125" style="1" customWidth="1"/>
    <col min="521" max="521" width="11.28515625" style="1" customWidth="1"/>
    <col min="522" max="522" width="11.140625" style="1" customWidth="1"/>
    <col min="523" max="528" width="11.28515625" style="1" customWidth="1"/>
    <col min="529" max="529" width="10.85546875" style="1" customWidth="1"/>
    <col min="530" max="530" width="11.28515625" style="1" customWidth="1"/>
    <col min="531" max="531" width="13" style="1" customWidth="1"/>
    <col min="532" max="768" width="9.140625" style="1"/>
    <col min="769" max="769" width="6.7109375" style="1" customWidth="1"/>
    <col min="770" max="770" width="25.140625" style="1" customWidth="1"/>
    <col min="771" max="771" width="16.42578125" style="1" customWidth="1"/>
    <col min="772" max="773" width="6.5703125" style="1" customWidth="1"/>
    <col min="774" max="774" width="13.42578125" style="1" customWidth="1"/>
    <col min="775" max="775" width="0" style="1" hidden="1" customWidth="1"/>
    <col min="776" max="776" width="11.5703125" style="1" customWidth="1"/>
    <col min="777" max="777" width="11.28515625" style="1" customWidth="1"/>
    <col min="778" max="778" width="11.140625" style="1" customWidth="1"/>
    <col min="779" max="784" width="11.28515625" style="1" customWidth="1"/>
    <col min="785" max="785" width="10.85546875" style="1" customWidth="1"/>
    <col min="786" max="786" width="11.28515625" style="1" customWidth="1"/>
    <col min="787" max="787" width="13" style="1" customWidth="1"/>
    <col min="788" max="1024" width="9.140625" style="1"/>
    <col min="1025" max="1025" width="6.7109375" style="1" customWidth="1"/>
    <col min="1026" max="1026" width="25.140625" style="1" customWidth="1"/>
    <col min="1027" max="1027" width="16.42578125" style="1" customWidth="1"/>
    <col min="1028" max="1029" width="6.5703125" style="1" customWidth="1"/>
    <col min="1030" max="1030" width="13.42578125" style="1" customWidth="1"/>
    <col min="1031" max="1031" width="0" style="1" hidden="1" customWidth="1"/>
    <col min="1032" max="1032" width="11.5703125" style="1" customWidth="1"/>
    <col min="1033" max="1033" width="11.28515625" style="1" customWidth="1"/>
    <col min="1034" max="1034" width="11.140625" style="1" customWidth="1"/>
    <col min="1035" max="1040" width="11.28515625" style="1" customWidth="1"/>
    <col min="1041" max="1041" width="10.85546875" style="1" customWidth="1"/>
    <col min="1042" max="1042" width="11.28515625" style="1" customWidth="1"/>
    <col min="1043" max="1043" width="13" style="1" customWidth="1"/>
    <col min="1044" max="1280" width="9.140625" style="1"/>
    <col min="1281" max="1281" width="6.7109375" style="1" customWidth="1"/>
    <col min="1282" max="1282" width="25.140625" style="1" customWidth="1"/>
    <col min="1283" max="1283" width="16.42578125" style="1" customWidth="1"/>
    <col min="1284" max="1285" width="6.5703125" style="1" customWidth="1"/>
    <col min="1286" max="1286" width="13.42578125" style="1" customWidth="1"/>
    <col min="1287" max="1287" width="0" style="1" hidden="1" customWidth="1"/>
    <col min="1288" max="1288" width="11.5703125" style="1" customWidth="1"/>
    <col min="1289" max="1289" width="11.28515625" style="1" customWidth="1"/>
    <col min="1290" max="1290" width="11.140625" style="1" customWidth="1"/>
    <col min="1291" max="1296" width="11.28515625" style="1" customWidth="1"/>
    <col min="1297" max="1297" width="10.85546875" style="1" customWidth="1"/>
    <col min="1298" max="1298" width="11.28515625" style="1" customWidth="1"/>
    <col min="1299" max="1299" width="13" style="1" customWidth="1"/>
    <col min="1300" max="1536" width="9.140625" style="1"/>
    <col min="1537" max="1537" width="6.7109375" style="1" customWidth="1"/>
    <col min="1538" max="1538" width="25.140625" style="1" customWidth="1"/>
    <col min="1539" max="1539" width="16.42578125" style="1" customWidth="1"/>
    <col min="1540" max="1541" width="6.5703125" style="1" customWidth="1"/>
    <col min="1542" max="1542" width="13.42578125" style="1" customWidth="1"/>
    <col min="1543" max="1543" width="0" style="1" hidden="1" customWidth="1"/>
    <col min="1544" max="1544" width="11.5703125" style="1" customWidth="1"/>
    <col min="1545" max="1545" width="11.28515625" style="1" customWidth="1"/>
    <col min="1546" max="1546" width="11.140625" style="1" customWidth="1"/>
    <col min="1547" max="1552" width="11.28515625" style="1" customWidth="1"/>
    <col min="1553" max="1553" width="10.85546875" style="1" customWidth="1"/>
    <col min="1554" max="1554" width="11.28515625" style="1" customWidth="1"/>
    <col min="1555" max="1555" width="13" style="1" customWidth="1"/>
    <col min="1556" max="1792" width="9.140625" style="1"/>
    <col min="1793" max="1793" width="6.7109375" style="1" customWidth="1"/>
    <col min="1794" max="1794" width="25.140625" style="1" customWidth="1"/>
    <col min="1795" max="1795" width="16.42578125" style="1" customWidth="1"/>
    <col min="1796" max="1797" width="6.5703125" style="1" customWidth="1"/>
    <col min="1798" max="1798" width="13.42578125" style="1" customWidth="1"/>
    <col min="1799" max="1799" width="0" style="1" hidden="1" customWidth="1"/>
    <col min="1800" max="1800" width="11.5703125" style="1" customWidth="1"/>
    <col min="1801" max="1801" width="11.28515625" style="1" customWidth="1"/>
    <col min="1802" max="1802" width="11.140625" style="1" customWidth="1"/>
    <col min="1803" max="1808" width="11.28515625" style="1" customWidth="1"/>
    <col min="1809" max="1809" width="10.85546875" style="1" customWidth="1"/>
    <col min="1810" max="1810" width="11.28515625" style="1" customWidth="1"/>
    <col min="1811" max="1811" width="13" style="1" customWidth="1"/>
    <col min="1812" max="2048" width="9.140625" style="1"/>
    <col min="2049" max="2049" width="6.7109375" style="1" customWidth="1"/>
    <col min="2050" max="2050" width="25.140625" style="1" customWidth="1"/>
    <col min="2051" max="2051" width="16.42578125" style="1" customWidth="1"/>
    <col min="2052" max="2053" width="6.5703125" style="1" customWidth="1"/>
    <col min="2054" max="2054" width="13.42578125" style="1" customWidth="1"/>
    <col min="2055" max="2055" width="0" style="1" hidden="1" customWidth="1"/>
    <col min="2056" max="2056" width="11.5703125" style="1" customWidth="1"/>
    <col min="2057" max="2057" width="11.28515625" style="1" customWidth="1"/>
    <col min="2058" max="2058" width="11.140625" style="1" customWidth="1"/>
    <col min="2059" max="2064" width="11.28515625" style="1" customWidth="1"/>
    <col min="2065" max="2065" width="10.85546875" style="1" customWidth="1"/>
    <col min="2066" max="2066" width="11.28515625" style="1" customWidth="1"/>
    <col min="2067" max="2067" width="13" style="1" customWidth="1"/>
    <col min="2068" max="2304" width="9.140625" style="1"/>
    <col min="2305" max="2305" width="6.7109375" style="1" customWidth="1"/>
    <col min="2306" max="2306" width="25.140625" style="1" customWidth="1"/>
    <col min="2307" max="2307" width="16.42578125" style="1" customWidth="1"/>
    <col min="2308" max="2309" width="6.5703125" style="1" customWidth="1"/>
    <col min="2310" max="2310" width="13.42578125" style="1" customWidth="1"/>
    <col min="2311" max="2311" width="0" style="1" hidden="1" customWidth="1"/>
    <col min="2312" max="2312" width="11.5703125" style="1" customWidth="1"/>
    <col min="2313" max="2313" width="11.28515625" style="1" customWidth="1"/>
    <col min="2314" max="2314" width="11.140625" style="1" customWidth="1"/>
    <col min="2315" max="2320" width="11.28515625" style="1" customWidth="1"/>
    <col min="2321" max="2321" width="10.85546875" style="1" customWidth="1"/>
    <col min="2322" max="2322" width="11.28515625" style="1" customWidth="1"/>
    <col min="2323" max="2323" width="13" style="1" customWidth="1"/>
    <col min="2324" max="2560" width="9.140625" style="1"/>
    <col min="2561" max="2561" width="6.7109375" style="1" customWidth="1"/>
    <col min="2562" max="2562" width="25.140625" style="1" customWidth="1"/>
    <col min="2563" max="2563" width="16.42578125" style="1" customWidth="1"/>
    <col min="2564" max="2565" width="6.5703125" style="1" customWidth="1"/>
    <col min="2566" max="2566" width="13.42578125" style="1" customWidth="1"/>
    <col min="2567" max="2567" width="0" style="1" hidden="1" customWidth="1"/>
    <col min="2568" max="2568" width="11.5703125" style="1" customWidth="1"/>
    <col min="2569" max="2569" width="11.28515625" style="1" customWidth="1"/>
    <col min="2570" max="2570" width="11.140625" style="1" customWidth="1"/>
    <col min="2571" max="2576" width="11.28515625" style="1" customWidth="1"/>
    <col min="2577" max="2577" width="10.85546875" style="1" customWidth="1"/>
    <col min="2578" max="2578" width="11.28515625" style="1" customWidth="1"/>
    <col min="2579" max="2579" width="13" style="1" customWidth="1"/>
    <col min="2580" max="2816" width="9.140625" style="1"/>
    <col min="2817" max="2817" width="6.7109375" style="1" customWidth="1"/>
    <col min="2818" max="2818" width="25.140625" style="1" customWidth="1"/>
    <col min="2819" max="2819" width="16.42578125" style="1" customWidth="1"/>
    <col min="2820" max="2821" width="6.5703125" style="1" customWidth="1"/>
    <col min="2822" max="2822" width="13.42578125" style="1" customWidth="1"/>
    <col min="2823" max="2823" width="0" style="1" hidden="1" customWidth="1"/>
    <col min="2824" max="2824" width="11.5703125" style="1" customWidth="1"/>
    <col min="2825" max="2825" width="11.28515625" style="1" customWidth="1"/>
    <col min="2826" max="2826" width="11.140625" style="1" customWidth="1"/>
    <col min="2827" max="2832" width="11.28515625" style="1" customWidth="1"/>
    <col min="2833" max="2833" width="10.85546875" style="1" customWidth="1"/>
    <col min="2834" max="2834" width="11.28515625" style="1" customWidth="1"/>
    <col min="2835" max="2835" width="13" style="1" customWidth="1"/>
    <col min="2836" max="3072" width="9.140625" style="1"/>
    <col min="3073" max="3073" width="6.7109375" style="1" customWidth="1"/>
    <col min="3074" max="3074" width="25.140625" style="1" customWidth="1"/>
    <col min="3075" max="3075" width="16.42578125" style="1" customWidth="1"/>
    <col min="3076" max="3077" width="6.5703125" style="1" customWidth="1"/>
    <col min="3078" max="3078" width="13.42578125" style="1" customWidth="1"/>
    <col min="3079" max="3079" width="0" style="1" hidden="1" customWidth="1"/>
    <col min="3080" max="3080" width="11.5703125" style="1" customWidth="1"/>
    <col min="3081" max="3081" width="11.28515625" style="1" customWidth="1"/>
    <col min="3082" max="3082" width="11.140625" style="1" customWidth="1"/>
    <col min="3083" max="3088" width="11.28515625" style="1" customWidth="1"/>
    <col min="3089" max="3089" width="10.85546875" style="1" customWidth="1"/>
    <col min="3090" max="3090" width="11.28515625" style="1" customWidth="1"/>
    <col min="3091" max="3091" width="13" style="1" customWidth="1"/>
    <col min="3092" max="3328" width="9.140625" style="1"/>
    <col min="3329" max="3329" width="6.7109375" style="1" customWidth="1"/>
    <col min="3330" max="3330" width="25.140625" style="1" customWidth="1"/>
    <col min="3331" max="3331" width="16.42578125" style="1" customWidth="1"/>
    <col min="3332" max="3333" width="6.5703125" style="1" customWidth="1"/>
    <col min="3334" max="3334" width="13.42578125" style="1" customWidth="1"/>
    <col min="3335" max="3335" width="0" style="1" hidden="1" customWidth="1"/>
    <col min="3336" max="3336" width="11.5703125" style="1" customWidth="1"/>
    <col min="3337" max="3337" width="11.28515625" style="1" customWidth="1"/>
    <col min="3338" max="3338" width="11.140625" style="1" customWidth="1"/>
    <col min="3339" max="3344" width="11.28515625" style="1" customWidth="1"/>
    <col min="3345" max="3345" width="10.85546875" style="1" customWidth="1"/>
    <col min="3346" max="3346" width="11.28515625" style="1" customWidth="1"/>
    <col min="3347" max="3347" width="13" style="1" customWidth="1"/>
    <col min="3348" max="3584" width="9.140625" style="1"/>
    <col min="3585" max="3585" width="6.7109375" style="1" customWidth="1"/>
    <col min="3586" max="3586" width="25.140625" style="1" customWidth="1"/>
    <col min="3587" max="3587" width="16.42578125" style="1" customWidth="1"/>
    <col min="3588" max="3589" width="6.5703125" style="1" customWidth="1"/>
    <col min="3590" max="3590" width="13.42578125" style="1" customWidth="1"/>
    <col min="3591" max="3591" width="0" style="1" hidden="1" customWidth="1"/>
    <col min="3592" max="3592" width="11.5703125" style="1" customWidth="1"/>
    <col min="3593" max="3593" width="11.28515625" style="1" customWidth="1"/>
    <col min="3594" max="3594" width="11.140625" style="1" customWidth="1"/>
    <col min="3595" max="3600" width="11.28515625" style="1" customWidth="1"/>
    <col min="3601" max="3601" width="10.85546875" style="1" customWidth="1"/>
    <col min="3602" max="3602" width="11.28515625" style="1" customWidth="1"/>
    <col min="3603" max="3603" width="13" style="1" customWidth="1"/>
    <col min="3604" max="3840" width="9.140625" style="1"/>
    <col min="3841" max="3841" width="6.7109375" style="1" customWidth="1"/>
    <col min="3842" max="3842" width="25.140625" style="1" customWidth="1"/>
    <col min="3843" max="3843" width="16.42578125" style="1" customWidth="1"/>
    <col min="3844" max="3845" width="6.5703125" style="1" customWidth="1"/>
    <col min="3846" max="3846" width="13.42578125" style="1" customWidth="1"/>
    <col min="3847" max="3847" width="0" style="1" hidden="1" customWidth="1"/>
    <col min="3848" max="3848" width="11.5703125" style="1" customWidth="1"/>
    <col min="3849" max="3849" width="11.28515625" style="1" customWidth="1"/>
    <col min="3850" max="3850" width="11.140625" style="1" customWidth="1"/>
    <col min="3851" max="3856" width="11.28515625" style="1" customWidth="1"/>
    <col min="3857" max="3857" width="10.85546875" style="1" customWidth="1"/>
    <col min="3858" max="3858" width="11.28515625" style="1" customWidth="1"/>
    <col min="3859" max="3859" width="13" style="1" customWidth="1"/>
    <col min="3860" max="4096" width="9.140625" style="1"/>
    <col min="4097" max="4097" width="6.7109375" style="1" customWidth="1"/>
    <col min="4098" max="4098" width="25.140625" style="1" customWidth="1"/>
    <col min="4099" max="4099" width="16.42578125" style="1" customWidth="1"/>
    <col min="4100" max="4101" width="6.5703125" style="1" customWidth="1"/>
    <col min="4102" max="4102" width="13.42578125" style="1" customWidth="1"/>
    <col min="4103" max="4103" width="0" style="1" hidden="1" customWidth="1"/>
    <col min="4104" max="4104" width="11.5703125" style="1" customWidth="1"/>
    <col min="4105" max="4105" width="11.28515625" style="1" customWidth="1"/>
    <col min="4106" max="4106" width="11.140625" style="1" customWidth="1"/>
    <col min="4107" max="4112" width="11.28515625" style="1" customWidth="1"/>
    <col min="4113" max="4113" width="10.85546875" style="1" customWidth="1"/>
    <col min="4114" max="4114" width="11.28515625" style="1" customWidth="1"/>
    <col min="4115" max="4115" width="13" style="1" customWidth="1"/>
    <col min="4116" max="4352" width="9.140625" style="1"/>
    <col min="4353" max="4353" width="6.7109375" style="1" customWidth="1"/>
    <col min="4354" max="4354" width="25.140625" style="1" customWidth="1"/>
    <col min="4355" max="4355" width="16.42578125" style="1" customWidth="1"/>
    <col min="4356" max="4357" width="6.5703125" style="1" customWidth="1"/>
    <col min="4358" max="4358" width="13.42578125" style="1" customWidth="1"/>
    <col min="4359" max="4359" width="0" style="1" hidden="1" customWidth="1"/>
    <col min="4360" max="4360" width="11.5703125" style="1" customWidth="1"/>
    <col min="4361" max="4361" width="11.28515625" style="1" customWidth="1"/>
    <col min="4362" max="4362" width="11.140625" style="1" customWidth="1"/>
    <col min="4363" max="4368" width="11.28515625" style="1" customWidth="1"/>
    <col min="4369" max="4369" width="10.85546875" style="1" customWidth="1"/>
    <col min="4370" max="4370" width="11.28515625" style="1" customWidth="1"/>
    <col min="4371" max="4371" width="13" style="1" customWidth="1"/>
    <col min="4372" max="4608" width="9.140625" style="1"/>
    <col min="4609" max="4609" width="6.7109375" style="1" customWidth="1"/>
    <col min="4610" max="4610" width="25.140625" style="1" customWidth="1"/>
    <col min="4611" max="4611" width="16.42578125" style="1" customWidth="1"/>
    <col min="4612" max="4613" width="6.5703125" style="1" customWidth="1"/>
    <col min="4614" max="4614" width="13.42578125" style="1" customWidth="1"/>
    <col min="4615" max="4615" width="0" style="1" hidden="1" customWidth="1"/>
    <col min="4616" max="4616" width="11.5703125" style="1" customWidth="1"/>
    <col min="4617" max="4617" width="11.28515625" style="1" customWidth="1"/>
    <col min="4618" max="4618" width="11.140625" style="1" customWidth="1"/>
    <col min="4619" max="4624" width="11.28515625" style="1" customWidth="1"/>
    <col min="4625" max="4625" width="10.85546875" style="1" customWidth="1"/>
    <col min="4626" max="4626" width="11.28515625" style="1" customWidth="1"/>
    <col min="4627" max="4627" width="13" style="1" customWidth="1"/>
    <col min="4628" max="4864" width="9.140625" style="1"/>
    <col min="4865" max="4865" width="6.7109375" style="1" customWidth="1"/>
    <col min="4866" max="4866" width="25.140625" style="1" customWidth="1"/>
    <col min="4867" max="4867" width="16.42578125" style="1" customWidth="1"/>
    <col min="4868" max="4869" width="6.5703125" style="1" customWidth="1"/>
    <col min="4870" max="4870" width="13.42578125" style="1" customWidth="1"/>
    <col min="4871" max="4871" width="0" style="1" hidden="1" customWidth="1"/>
    <col min="4872" max="4872" width="11.5703125" style="1" customWidth="1"/>
    <col min="4873" max="4873" width="11.28515625" style="1" customWidth="1"/>
    <col min="4874" max="4874" width="11.140625" style="1" customWidth="1"/>
    <col min="4875" max="4880" width="11.28515625" style="1" customWidth="1"/>
    <col min="4881" max="4881" width="10.85546875" style="1" customWidth="1"/>
    <col min="4882" max="4882" width="11.28515625" style="1" customWidth="1"/>
    <col min="4883" max="4883" width="13" style="1" customWidth="1"/>
    <col min="4884" max="5120" width="9.140625" style="1"/>
    <col min="5121" max="5121" width="6.7109375" style="1" customWidth="1"/>
    <col min="5122" max="5122" width="25.140625" style="1" customWidth="1"/>
    <col min="5123" max="5123" width="16.42578125" style="1" customWidth="1"/>
    <col min="5124" max="5125" width="6.5703125" style="1" customWidth="1"/>
    <col min="5126" max="5126" width="13.42578125" style="1" customWidth="1"/>
    <col min="5127" max="5127" width="0" style="1" hidden="1" customWidth="1"/>
    <col min="5128" max="5128" width="11.5703125" style="1" customWidth="1"/>
    <col min="5129" max="5129" width="11.28515625" style="1" customWidth="1"/>
    <col min="5130" max="5130" width="11.140625" style="1" customWidth="1"/>
    <col min="5131" max="5136" width="11.28515625" style="1" customWidth="1"/>
    <col min="5137" max="5137" width="10.85546875" style="1" customWidth="1"/>
    <col min="5138" max="5138" width="11.28515625" style="1" customWidth="1"/>
    <col min="5139" max="5139" width="13" style="1" customWidth="1"/>
    <col min="5140" max="5376" width="9.140625" style="1"/>
    <col min="5377" max="5377" width="6.7109375" style="1" customWidth="1"/>
    <col min="5378" max="5378" width="25.140625" style="1" customWidth="1"/>
    <col min="5379" max="5379" width="16.42578125" style="1" customWidth="1"/>
    <col min="5380" max="5381" width="6.5703125" style="1" customWidth="1"/>
    <col min="5382" max="5382" width="13.42578125" style="1" customWidth="1"/>
    <col min="5383" max="5383" width="0" style="1" hidden="1" customWidth="1"/>
    <col min="5384" max="5384" width="11.5703125" style="1" customWidth="1"/>
    <col min="5385" max="5385" width="11.28515625" style="1" customWidth="1"/>
    <col min="5386" max="5386" width="11.140625" style="1" customWidth="1"/>
    <col min="5387" max="5392" width="11.28515625" style="1" customWidth="1"/>
    <col min="5393" max="5393" width="10.85546875" style="1" customWidth="1"/>
    <col min="5394" max="5394" width="11.28515625" style="1" customWidth="1"/>
    <col min="5395" max="5395" width="13" style="1" customWidth="1"/>
    <col min="5396" max="5632" width="9.140625" style="1"/>
    <col min="5633" max="5633" width="6.7109375" style="1" customWidth="1"/>
    <col min="5634" max="5634" width="25.140625" style="1" customWidth="1"/>
    <col min="5635" max="5635" width="16.42578125" style="1" customWidth="1"/>
    <col min="5636" max="5637" width="6.5703125" style="1" customWidth="1"/>
    <col min="5638" max="5638" width="13.42578125" style="1" customWidth="1"/>
    <col min="5639" max="5639" width="0" style="1" hidden="1" customWidth="1"/>
    <col min="5640" max="5640" width="11.5703125" style="1" customWidth="1"/>
    <col min="5641" max="5641" width="11.28515625" style="1" customWidth="1"/>
    <col min="5642" max="5642" width="11.140625" style="1" customWidth="1"/>
    <col min="5643" max="5648" width="11.28515625" style="1" customWidth="1"/>
    <col min="5649" max="5649" width="10.85546875" style="1" customWidth="1"/>
    <col min="5650" max="5650" width="11.28515625" style="1" customWidth="1"/>
    <col min="5651" max="5651" width="13" style="1" customWidth="1"/>
    <col min="5652" max="5888" width="9.140625" style="1"/>
    <col min="5889" max="5889" width="6.7109375" style="1" customWidth="1"/>
    <col min="5890" max="5890" width="25.140625" style="1" customWidth="1"/>
    <col min="5891" max="5891" width="16.42578125" style="1" customWidth="1"/>
    <col min="5892" max="5893" width="6.5703125" style="1" customWidth="1"/>
    <col min="5894" max="5894" width="13.42578125" style="1" customWidth="1"/>
    <col min="5895" max="5895" width="0" style="1" hidden="1" customWidth="1"/>
    <col min="5896" max="5896" width="11.5703125" style="1" customWidth="1"/>
    <col min="5897" max="5897" width="11.28515625" style="1" customWidth="1"/>
    <col min="5898" max="5898" width="11.140625" style="1" customWidth="1"/>
    <col min="5899" max="5904" width="11.28515625" style="1" customWidth="1"/>
    <col min="5905" max="5905" width="10.85546875" style="1" customWidth="1"/>
    <col min="5906" max="5906" width="11.28515625" style="1" customWidth="1"/>
    <col min="5907" max="5907" width="13" style="1" customWidth="1"/>
    <col min="5908" max="6144" width="9.140625" style="1"/>
    <col min="6145" max="6145" width="6.7109375" style="1" customWidth="1"/>
    <col min="6146" max="6146" width="25.140625" style="1" customWidth="1"/>
    <col min="6147" max="6147" width="16.42578125" style="1" customWidth="1"/>
    <col min="6148" max="6149" width="6.5703125" style="1" customWidth="1"/>
    <col min="6150" max="6150" width="13.42578125" style="1" customWidth="1"/>
    <col min="6151" max="6151" width="0" style="1" hidden="1" customWidth="1"/>
    <col min="6152" max="6152" width="11.5703125" style="1" customWidth="1"/>
    <col min="6153" max="6153" width="11.28515625" style="1" customWidth="1"/>
    <col min="6154" max="6154" width="11.140625" style="1" customWidth="1"/>
    <col min="6155" max="6160" width="11.28515625" style="1" customWidth="1"/>
    <col min="6161" max="6161" width="10.85546875" style="1" customWidth="1"/>
    <col min="6162" max="6162" width="11.28515625" style="1" customWidth="1"/>
    <col min="6163" max="6163" width="13" style="1" customWidth="1"/>
    <col min="6164" max="6400" width="9.140625" style="1"/>
    <col min="6401" max="6401" width="6.7109375" style="1" customWidth="1"/>
    <col min="6402" max="6402" width="25.140625" style="1" customWidth="1"/>
    <col min="6403" max="6403" width="16.42578125" style="1" customWidth="1"/>
    <col min="6404" max="6405" width="6.5703125" style="1" customWidth="1"/>
    <col min="6406" max="6406" width="13.42578125" style="1" customWidth="1"/>
    <col min="6407" max="6407" width="0" style="1" hidden="1" customWidth="1"/>
    <col min="6408" max="6408" width="11.5703125" style="1" customWidth="1"/>
    <col min="6409" max="6409" width="11.28515625" style="1" customWidth="1"/>
    <col min="6410" max="6410" width="11.140625" style="1" customWidth="1"/>
    <col min="6411" max="6416" width="11.28515625" style="1" customWidth="1"/>
    <col min="6417" max="6417" width="10.85546875" style="1" customWidth="1"/>
    <col min="6418" max="6418" width="11.28515625" style="1" customWidth="1"/>
    <col min="6419" max="6419" width="13" style="1" customWidth="1"/>
    <col min="6420" max="6656" width="9.140625" style="1"/>
    <col min="6657" max="6657" width="6.7109375" style="1" customWidth="1"/>
    <col min="6658" max="6658" width="25.140625" style="1" customWidth="1"/>
    <col min="6659" max="6659" width="16.42578125" style="1" customWidth="1"/>
    <col min="6660" max="6661" width="6.5703125" style="1" customWidth="1"/>
    <col min="6662" max="6662" width="13.42578125" style="1" customWidth="1"/>
    <col min="6663" max="6663" width="0" style="1" hidden="1" customWidth="1"/>
    <col min="6664" max="6664" width="11.5703125" style="1" customWidth="1"/>
    <col min="6665" max="6665" width="11.28515625" style="1" customWidth="1"/>
    <col min="6666" max="6666" width="11.140625" style="1" customWidth="1"/>
    <col min="6667" max="6672" width="11.28515625" style="1" customWidth="1"/>
    <col min="6673" max="6673" width="10.85546875" style="1" customWidth="1"/>
    <col min="6674" max="6674" width="11.28515625" style="1" customWidth="1"/>
    <col min="6675" max="6675" width="13" style="1" customWidth="1"/>
    <col min="6676" max="6912" width="9.140625" style="1"/>
    <col min="6913" max="6913" width="6.7109375" style="1" customWidth="1"/>
    <col min="6914" max="6914" width="25.140625" style="1" customWidth="1"/>
    <col min="6915" max="6915" width="16.42578125" style="1" customWidth="1"/>
    <col min="6916" max="6917" width="6.5703125" style="1" customWidth="1"/>
    <col min="6918" max="6918" width="13.42578125" style="1" customWidth="1"/>
    <col min="6919" max="6919" width="0" style="1" hidden="1" customWidth="1"/>
    <col min="6920" max="6920" width="11.5703125" style="1" customWidth="1"/>
    <col min="6921" max="6921" width="11.28515625" style="1" customWidth="1"/>
    <col min="6922" max="6922" width="11.140625" style="1" customWidth="1"/>
    <col min="6923" max="6928" width="11.28515625" style="1" customWidth="1"/>
    <col min="6929" max="6929" width="10.85546875" style="1" customWidth="1"/>
    <col min="6930" max="6930" width="11.28515625" style="1" customWidth="1"/>
    <col min="6931" max="6931" width="13" style="1" customWidth="1"/>
    <col min="6932" max="7168" width="9.140625" style="1"/>
    <col min="7169" max="7169" width="6.7109375" style="1" customWidth="1"/>
    <col min="7170" max="7170" width="25.140625" style="1" customWidth="1"/>
    <col min="7171" max="7171" width="16.42578125" style="1" customWidth="1"/>
    <col min="7172" max="7173" width="6.5703125" style="1" customWidth="1"/>
    <col min="7174" max="7174" width="13.42578125" style="1" customWidth="1"/>
    <col min="7175" max="7175" width="0" style="1" hidden="1" customWidth="1"/>
    <col min="7176" max="7176" width="11.5703125" style="1" customWidth="1"/>
    <col min="7177" max="7177" width="11.28515625" style="1" customWidth="1"/>
    <col min="7178" max="7178" width="11.140625" style="1" customWidth="1"/>
    <col min="7179" max="7184" width="11.28515625" style="1" customWidth="1"/>
    <col min="7185" max="7185" width="10.85546875" style="1" customWidth="1"/>
    <col min="7186" max="7186" width="11.28515625" style="1" customWidth="1"/>
    <col min="7187" max="7187" width="13" style="1" customWidth="1"/>
    <col min="7188" max="7424" width="9.140625" style="1"/>
    <col min="7425" max="7425" width="6.7109375" style="1" customWidth="1"/>
    <col min="7426" max="7426" width="25.140625" style="1" customWidth="1"/>
    <col min="7427" max="7427" width="16.42578125" style="1" customWidth="1"/>
    <col min="7428" max="7429" width="6.5703125" style="1" customWidth="1"/>
    <col min="7430" max="7430" width="13.42578125" style="1" customWidth="1"/>
    <col min="7431" max="7431" width="0" style="1" hidden="1" customWidth="1"/>
    <col min="7432" max="7432" width="11.5703125" style="1" customWidth="1"/>
    <col min="7433" max="7433" width="11.28515625" style="1" customWidth="1"/>
    <col min="7434" max="7434" width="11.140625" style="1" customWidth="1"/>
    <col min="7435" max="7440" width="11.28515625" style="1" customWidth="1"/>
    <col min="7441" max="7441" width="10.85546875" style="1" customWidth="1"/>
    <col min="7442" max="7442" width="11.28515625" style="1" customWidth="1"/>
    <col min="7443" max="7443" width="13" style="1" customWidth="1"/>
    <col min="7444" max="7680" width="9.140625" style="1"/>
    <col min="7681" max="7681" width="6.7109375" style="1" customWidth="1"/>
    <col min="7682" max="7682" width="25.140625" style="1" customWidth="1"/>
    <col min="7683" max="7683" width="16.42578125" style="1" customWidth="1"/>
    <col min="7684" max="7685" width="6.5703125" style="1" customWidth="1"/>
    <col min="7686" max="7686" width="13.42578125" style="1" customWidth="1"/>
    <col min="7687" max="7687" width="0" style="1" hidden="1" customWidth="1"/>
    <col min="7688" max="7688" width="11.5703125" style="1" customWidth="1"/>
    <col min="7689" max="7689" width="11.28515625" style="1" customWidth="1"/>
    <col min="7690" max="7690" width="11.140625" style="1" customWidth="1"/>
    <col min="7691" max="7696" width="11.28515625" style="1" customWidth="1"/>
    <col min="7697" max="7697" width="10.85546875" style="1" customWidth="1"/>
    <col min="7698" max="7698" width="11.28515625" style="1" customWidth="1"/>
    <col min="7699" max="7699" width="13" style="1" customWidth="1"/>
    <col min="7700" max="7936" width="9.140625" style="1"/>
    <col min="7937" max="7937" width="6.7109375" style="1" customWidth="1"/>
    <col min="7938" max="7938" width="25.140625" style="1" customWidth="1"/>
    <col min="7939" max="7939" width="16.42578125" style="1" customWidth="1"/>
    <col min="7940" max="7941" width="6.5703125" style="1" customWidth="1"/>
    <col min="7942" max="7942" width="13.42578125" style="1" customWidth="1"/>
    <col min="7943" max="7943" width="0" style="1" hidden="1" customWidth="1"/>
    <col min="7944" max="7944" width="11.5703125" style="1" customWidth="1"/>
    <col min="7945" max="7945" width="11.28515625" style="1" customWidth="1"/>
    <col min="7946" max="7946" width="11.140625" style="1" customWidth="1"/>
    <col min="7947" max="7952" width="11.28515625" style="1" customWidth="1"/>
    <col min="7953" max="7953" width="10.85546875" style="1" customWidth="1"/>
    <col min="7954" max="7954" width="11.28515625" style="1" customWidth="1"/>
    <col min="7955" max="7955" width="13" style="1" customWidth="1"/>
    <col min="7956" max="8192" width="9.140625" style="1"/>
    <col min="8193" max="8193" width="6.7109375" style="1" customWidth="1"/>
    <col min="8194" max="8194" width="25.140625" style="1" customWidth="1"/>
    <col min="8195" max="8195" width="16.42578125" style="1" customWidth="1"/>
    <col min="8196" max="8197" width="6.5703125" style="1" customWidth="1"/>
    <col min="8198" max="8198" width="13.42578125" style="1" customWidth="1"/>
    <col min="8199" max="8199" width="0" style="1" hidden="1" customWidth="1"/>
    <col min="8200" max="8200" width="11.5703125" style="1" customWidth="1"/>
    <col min="8201" max="8201" width="11.28515625" style="1" customWidth="1"/>
    <col min="8202" max="8202" width="11.140625" style="1" customWidth="1"/>
    <col min="8203" max="8208" width="11.28515625" style="1" customWidth="1"/>
    <col min="8209" max="8209" width="10.85546875" style="1" customWidth="1"/>
    <col min="8210" max="8210" width="11.28515625" style="1" customWidth="1"/>
    <col min="8211" max="8211" width="13" style="1" customWidth="1"/>
    <col min="8212" max="8448" width="9.140625" style="1"/>
    <col min="8449" max="8449" width="6.7109375" style="1" customWidth="1"/>
    <col min="8450" max="8450" width="25.140625" style="1" customWidth="1"/>
    <col min="8451" max="8451" width="16.42578125" style="1" customWidth="1"/>
    <col min="8452" max="8453" width="6.5703125" style="1" customWidth="1"/>
    <col min="8454" max="8454" width="13.42578125" style="1" customWidth="1"/>
    <col min="8455" max="8455" width="0" style="1" hidden="1" customWidth="1"/>
    <col min="8456" max="8456" width="11.5703125" style="1" customWidth="1"/>
    <col min="8457" max="8457" width="11.28515625" style="1" customWidth="1"/>
    <col min="8458" max="8458" width="11.140625" style="1" customWidth="1"/>
    <col min="8459" max="8464" width="11.28515625" style="1" customWidth="1"/>
    <col min="8465" max="8465" width="10.85546875" style="1" customWidth="1"/>
    <col min="8466" max="8466" width="11.28515625" style="1" customWidth="1"/>
    <col min="8467" max="8467" width="13" style="1" customWidth="1"/>
    <col min="8468" max="8704" width="9.140625" style="1"/>
    <col min="8705" max="8705" width="6.7109375" style="1" customWidth="1"/>
    <col min="8706" max="8706" width="25.140625" style="1" customWidth="1"/>
    <col min="8707" max="8707" width="16.42578125" style="1" customWidth="1"/>
    <col min="8708" max="8709" width="6.5703125" style="1" customWidth="1"/>
    <col min="8710" max="8710" width="13.42578125" style="1" customWidth="1"/>
    <col min="8711" max="8711" width="0" style="1" hidden="1" customWidth="1"/>
    <col min="8712" max="8712" width="11.5703125" style="1" customWidth="1"/>
    <col min="8713" max="8713" width="11.28515625" style="1" customWidth="1"/>
    <col min="8714" max="8714" width="11.140625" style="1" customWidth="1"/>
    <col min="8715" max="8720" width="11.28515625" style="1" customWidth="1"/>
    <col min="8721" max="8721" width="10.85546875" style="1" customWidth="1"/>
    <col min="8722" max="8722" width="11.28515625" style="1" customWidth="1"/>
    <col min="8723" max="8723" width="13" style="1" customWidth="1"/>
    <col min="8724" max="8960" width="9.140625" style="1"/>
    <col min="8961" max="8961" width="6.7109375" style="1" customWidth="1"/>
    <col min="8962" max="8962" width="25.140625" style="1" customWidth="1"/>
    <col min="8963" max="8963" width="16.42578125" style="1" customWidth="1"/>
    <col min="8964" max="8965" width="6.5703125" style="1" customWidth="1"/>
    <col min="8966" max="8966" width="13.42578125" style="1" customWidth="1"/>
    <col min="8967" max="8967" width="0" style="1" hidden="1" customWidth="1"/>
    <col min="8968" max="8968" width="11.5703125" style="1" customWidth="1"/>
    <col min="8969" max="8969" width="11.28515625" style="1" customWidth="1"/>
    <col min="8970" max="8970" width="11.140625" style="1" customWidth="1"/>
    <col min="8971" max="8976" width="11.28515625" style="1" customWidth="1"/>
    <col min="8977" max="8977" width="10.85546875" style="1" customWidth="1"/>
    <col min="8978" max="8978" width="11.28515625" style="1" customWidth="1"/>
    <col min="8979" max="8979" width="13" style="1" customWidth="1"/>
    <col min="8980" max="9216" width="9.140625" style="1"/>
    <col min="9217" max="9217" width="6.7109375" style="1" customWidth="1"/>
    <col min="9218" max="9218" width="25.140625" style="1" customWidth="1"/>
    <col min="9219" max="9219" width="16.42578125" style="1" customWidth="1"/>
    <col min="9220" max="9221" width="6.5703125" style="1" customWidth="1"/>
    <col min="9222" max="9222" width="13.42578125" style="1" customWidth="1"/>
    <col min="9223" max="9223" width="0" style="1" hidden="1" customWidth="1"/>
    <col min="9224" max="9224" width="11.5703125" style="1" customWidth="1"/>
    <col min="9225" max="9225" width="11.28515625" style="1" customWidth="1"/>
    <col min="9226" max="9226" width="11.140625" style="1" customWidth="1"/>
    <col min="9227" max="9232" width="11.28515625" style="1" customWidth="1"/>
    <col min="9233" max="9233" width="10.85546875" style="1" customWidth="1"/>
    <col min="9234" max="9234" width="11.28515625" style="1" customWidth="1"/>
    <col min="9235" max="9235" width="13" style="1" customWidth="1"/>
    <col min="9236" max="9472" width="9.140625" style="1"/>
    <col min="9473" max="9473" width="6.7109375" style="1" customWidth="1"/>
    <col min="9474" max="9474" width="25.140625" style="1" customWidth="1"/>
    <col min="9475" max="9475" width="16.42578125" style="1" customWidth="1"/>
    <col min="9476" max="9477" width="6.5703125" style="1" customWidth="1"/>
    <col min="9478" max="9478" width="13.42578125" style="1" customWidth="1"/>
    <col min="9479" max="9479" width="0" style="1" hidden="1" customWidth="1"/>
    <col min="9480" max="9480" width="11.5703125" style="1" customWidth="1"/>
    <col min="9481" max="9481" width="11.28515625" style="1" customWidth="1"/>
    <col min="9482" max="9482" width="11.140625" style="1" customWidth="1"/>
    <col min="9483" max="9488" width="11.28515625" style="1" customWidth="1"/>
    <col min="9489" max="9489" width="10.85546875" style="1" customWidth="1"/>
    <col min="9490" max="9490" width="11.28515625" style="1" customWidth="1"/>
    <col min="9491" max="9491" width="13" style="1" customWidth="1"/>
    <col min="9492" max="9728" width="9.140625" style="1"/>
    <col min="9729" max="9729" width="6.7109375" style="1" customWidth="1"/>
    <col min="9730" max="9730" width="25.140625" style="1" customWidth="1"/>
    <col min="9731" max="9731" width="16.42578125" style="1" customWidth="1"/>
    <col min="9732" max="9733" width="6.5703125" style="1" customWidth="1"/>
    <col min="9734" max="9734" width="13.42578125" style="1" customWidth="1"/>
    <col min="9735" max="9735" width="0" style="1" hidden="1" customWidth="1"/>
    <col min="9736" max="9736" width="11.5703125" style="1" customWidth="1"/>
    <col min="9737" max="9737" width="11.28515625" style="1" customWidth="1"/>
    <col min="9738" max="9738" width="11.140625" style="1" customWidth="1"/>
    <col min="9739" max="9744" width="11.28515625" style="1" customWidth="1"/>
    <col min="9745" max="9745" width="10.85546875" style="1" customWidth="1"/>
    <col min="9746" max="9746" width="11.28515625" style="1" customWidth="1"/>
    <col min="9747" max="9747" width="13" style="1" customWidth="1"/>
    <col min="9748" max="9984" width="9.140625" style="1"/>
    <col min="9985" max="9985" width="6.7109375" style="1" customWidth="1"/>
    <col min="9986" max="9986" width="25.140625" style="1" customWidth="1"/>
    <col min="9987" max="9987" width="16.42578125" style="1" customWidth="1"/>
    <col min="9988" max="9989" width="6.5703125" style="1" customWidth="1"/>
    <col min="9990" max="9990" width="13.42578125" style="1" customWidth="1"/>
    <col min="9991" max="9991" width="0" style="1" hidden="1" customWidth="1"/>
    <col min="9992" max="9992" width="11.5703125" style="1" customWidth="1"/>
    <col min="9993" max="9993" width="11.28515625" style="1" customWidth="1"/>
    <col min="9994" max="9994" width="11.140625" style="1" customWidth="1"/>
    <col min="9995" max="10000" width="11.28515625" style="1" customWidth="1"/>
    <col min="10001" max="10001" width="10.85546875" style="1" customWidth="1"/>
    <col min="10002" max="10002" width="11.28515625" style="1" customWidth="1"/>
    <col min="10003" max="10003" width="13" style="1" customWidth="1"/>
    <col min="10004" max="10240" width="9.140625" style="1"/>
    <col min="10241" max="10241" width="6.7109375" style="1" customWidth="1"/>
    <col min="10242" max="10242" width="25.140625" style="1" customWidth="1"/>
    <col min="10243" max="10243" width="16.42578125" style="1" customWidth="1"/>
    <col min="10244" max="10245" width="6.5703125" style="1" customWidth="1"/>
    <col min="10246" max="10246" width="13.42578125" style="1" customWidth="1"/>
    <col min="10247" max="10247" width="0" style="1" hidden="1" customWidth="1"/>
    <col min="10248" max="10248" width="11.5703125" style="1" customWidth="1"/>
    <col min="10249" max="10249" width="11.28515625" style="1" customWidth="1"/>
    <col min="10250" max="10250" width="11.140625" style="1" customWidth="1"/>
    <col min="10251" max="10256" width="11.28515625" style="1" customWidth="1"/>
    <col min="10257" max="10257" width="10.85546875" style="1" customWidth="1"/>
    <col min="10258" max="10258" width="11.28515625" style="1" customWidth="1"/>
    <col min="10259" max="10259" width="13" style="1" customWidth="1"/>
    <col min="10260" max="10496" width="9.140625" style="1"/>
    <col min="10497" max="10497" width="6.7109375" style="1" customWidth="1"/>
    <col min="10498" max="10498" width="25.140625" style="1" customWidth="1"/>
    <col min="10499" max="10499" width="16.42578125" style="1" customWidth="1"/>
    <col min="10500" max="10501" width="6.5703125" style="1" customWidth="1"/>
    <col min="10502" max="10502" width="13.42578125" style="1" customWidth="1"/>
    <col min="10503" max="10503" width="0" style="1" hidden="1" customWidth="1"/>
    <col min="10504" max="10504" width="11.5703125" style="1" customWidth="1"/>
    <col min="10505" max="10505" width="11.28515625" style="1" customWidth="1"/>
    <col min="10506" max="10506" width="11.140625" style="1" customWidth="1"/>
    <col min="10507" max="10512" width="11.28515625" style="1" customWidth="1"/>
    <col min="10513" max="10513" width="10.85546875" style="1" customWidth="1"/>
    <col min="10514" max="10514" width="11.28515625" style="1" customWidth="1"/>
    <col min="10515" max="10515" width="13" style="1" customWidth="1"/>
    <col min="10516" max="10752" width="9.140625" style="1"/>
    <col min="10753" max="10753" width="6.7109375" style="1" customWidth="1"/>
    <col min="10754" max="10754" width="25.140625" style="1" customWidth="1"/>
    <col min="10755" max="10755" width="16.42578125" style="1" customWidth="1"/>
    <col min="10756" max="10757" width="6.5703125" style="1" customWidth="1"/>
    <col min="10758" max="10758" width="13.42578125" style="1" customWidth="1"/>
    <col min="10759" max="10759" width="0" style="1" hidden="1" customWidth="1"/>
    <col min="10760" max="10760" width="11.5703125" style="1" customWidth="1"/>
    <col min="10761" max="10761" width="11.28515625" style="1" customWidth="1"/>
    <col min="10762" max="10762" width="11.140625" style="1" customWidth="1"/>
    <col min="10763" max="10768" width="11.28515625" style="1" customWidth="1"/>
    <col min="10769" max="10769" width="10.85546875" style="1" customWidth="1"/>
    <col min="10770" max="10770" width="11.28515625" style="1" customWidth="1"/>
    <col min="10771" max="10771" width="13" style="1" customWidth="1"/>
    <col min="10772" max="11008" width="9.140625" style="1"/>
    <col min="11009" max="11009" width="6.7109375" style="1" customWidth="1"/>
    <col min="11010" max="11010" width="25.140625" style="1" customWidth="1"/>
    <col min="11011" max="11011" width="16.42578125" style="1" customWidth="1"/>
    <col min="11012" max="11013" width="6.5703125" style="1" customWidth="1"/>
    <col min="11014" max="11014" width="13.42578125" style="1" customWidth="1"/>
    <col min="11015" max="11015" width="0" style="1" hidden="1" customWidth="1"/>
    <col min="11016" max="11016" width="11.5703125" style="1" customWidth="1"/>
    <col min="11017" max="11017" width="11.28515625" style="1" customWidth="1"/>
    <col min="11018" max="11018" width="11.140625" style="1" customWidth="1"/>
    <col min="11019" max="11024" width="11.28515625" style="1" customWidth="1"/>
    <col min="11025" max="11025" width="10.85546875" style="1" customWidth="1"/>
    <col min="11026" max="11026" width="11.28515625" style="1" customWidth="1"/>
    <col min="11027" max="11027" width="13" style="1" customWidth="1"/>
    <col min="11028" max="11264" width="9.140625" style="1"/>
    <col min="11265" max="11265" width="6.7109375" style="1" customWidth="1"/>
    <col min="11266" max="11266" width="25.140625" style="1" customWidth="1"/>
    <col min="11267" max="11267" width="16.42578125" style="1" customWidth="1"/>
    <col min="11268" max="11269" width="6.5703125" style="1" customWidth="1"/>
    <col min="11270" max="11270" width="13.42578125" style="1" customWidth="1"/>
    <col min="11271" max="11271" width="0" style="1" hidden="1" customWidth="1"/>
    <col min="11272" max="11272" width="11.5703125" style="1" customWidth="1"/>
    <col min="11273" max="11273" width="11.28515625" style="1" customWidth="1"/>
    <col min="11274" max="11274" width="11.140625" style="1" customWidth="1"/>
    <col min="11275" max="11280" width="11.28515625" style="1" customWidth="1"/>
    <col min="11281" max="11281" width="10.85546875" style="1" customWidth="1"/>
    <col min="11282" max="11282" width="11.28515625" style="1" customWidth="1"/>
    <col min="11283" max="11283" width="13" style="1" customWidth="1"/>
    <col min="11284" max="11520" width="9.140625" style="1"/>
    <col min="11521" max="11521" width="6.7109375" style="1" customWidth="1"/>
    <col min="11522" max="11522" width="25.140625" style="1" customWidth="1"/>
    <col min="11523" max="11523" width="16.42578125" style="1" customWidth="1"/>
    <col min="11524" max="11525" width="6.5703125" style="1" customWidth="1"/>
    <col min="11526" max="11526" width="13.42578125" style="1" customWidth="1"/>
    <col min="11527" max="11527" width="0" style="1" hidden="1" customWidth="1"/>
    <col min="11528" max="11528" width="11.5703125" style="1" customWidth="1"/>
    <col min="11529" max="11529" width="11.28515625" style="1" customWidth="1"/>
    <col min="11530" max="11530" width="11.140625" style="1" customWidth="1"/>
    <col min="11531" max="11536" width="11.28515625" style="1" customWidth="1"/>
    <col min="11537" max="11537" width="10.85546875" style="1" customWidth="1"/>
    <col min="11538" max="11538" width="11.28515625" style="1" customWidth="1"/>
    <col min="11539" max="11539" width="13" style="1" customWidth="1"/>
    <col min="11540" max="11776" width="9.140625" style="1"/>
    <col min="11777" max="11777" width="6.7109375" style="1" customWidth="1"/>
    <col min="11778" max="11778" width="25.140625" style="1" customWidth="1"/>
    <col min="11779" max="11779" width="16.42578125" style="1" customWidth="1"/>
    <col min="11780" max="11781" width="6.5703125" style="1" customWidth="1"/>
    <col min="11782" max="11782" width="13.42578125" style="1" customWidth="1"/>
    <col min="11783" max="11783" width="0" style="1" hidden="1" customWidth="1"/>
    <col min="11784" max="11784" width="11.5703125" style="1" customWidth="1"/>
    <col min="11785" max="11785" width="11.28515625" style="1" customWidth="1"/>
    <col min="11786" max="11786" width="11.140625" style="1" customWidth="1"/>
    <col min="11787" max="11792" width="11.28515625" style="1" customWidth="1"/>
    <col min="11793" max="11793" width="10.85546875" style="1" customWidth="1"/>
    <col min="11794" max="11794" width="11.28515625" style="1" customWidth="1"/>
    <col min="11795" max="11795" width="13" style="1" customWidth="1"/>
    <col min="11796" max="12032" width="9.140625" style="1"/>
    <col min="12033" max="12033" width="6.7109375" style="1" customWidth="1"/>
    <col min="12034" max="12034" width="25.140625" style="1" customWidth="1"/>
    <col min="12035" max="12035" width="16.42578125" style="1" customWidth="1"/>
    <col min="12036" max="12037" width="6.5703125" style="1" customWidth="1"/>
    <col min="12038" max="12038" width="13.42578125" style="1" customWidth="1"/>
    <col min="12039" max="12039" width="0" style="1" hidden="1" customWidth="1"/>
    <col min="12040" max="12040" width="11.5703125" style="1" customWidth="1"/>
    <col min="12041" max="12041" width="11.28515625" style="1" customWidth="1"/>
    <col min="12042" max="12042" width="11.140625" style="1" customWidth="1"/>
    <col min="12043" max="12048" width="11.28515625" style="1" customWidth="1"/>
    <col min="12049" max="12049" width="10.85546875" style="1" customWidth="1"/>
    <col min="12050" max="12050" width="11.28515625" style="1" customWidth="1"/>
    <col min="12051" max="12051" width="13" style="1" customWidth="1"/>
    <col min="12052" max="12288" width="9.140625" style="1"/>
    <col min="12289" max="12289" width="6.7109375" style="1" customWidth="1"/>
    <col min="12290" max="12290" width="25.140625" style="1" customWidth="1"/>
    <col min="12291" max="12291" width="16.42578125" style="1" customWidth="1"/>
    <col min="12292" max="12293" width="6.5703125" style="1" customWidth="1"/>
    <col min="12294" max="12294" width="13.42578125" style="1" customWidth="1"/>
    <col min="12295" max="12295" width="0" style="1" hidden="1" customWidth="1"/>
    <col min="12296" max="12296" width="11.5703125" style="1" customWidth="1"/>
    <col min="12297" max="12297" width="11.28515625" style="1" customWidth="1"/>
    <col min="12298" max="12298" width="11.140625" style="1" customWidth="1"/>
    <col min="12299" max="12304" width="11.28515625" style="1" customWidth="1"/>
    <col min="12305" max="12305" width="10.85546875" style="1" customWidth="1"/>
    <col min="12306" max="12306" width="11.28515625" style="1" customWidth="1"/>
    <col min="12307" max="12307" width="13" style="1" customWidth="1"/>
    <col min="12308" max="12544" width="9.140625" style="1"/>
    <col min="12545" max="12545" width="6.7109375" style="1" customWidth="1"/>
    <col min="12546" max="12546" width="25.140625" style="1" customWidth="1"/>
    <col min="12547" max="12547" width="16.42578125" style="1" customWidth="1"/>
    <col min="12548" max="12549" width="6.5703125" style="1" customWidth="1"/>
    <col min="12550" max="12550" width="13.42578125" style="1" customWidth="1"/>
    <col min="12551" max="12551" width="0" style="1" hidden="1" customWidth="1"/>
    <col min="12552" max="12552" width="11.5703125" style="1" customWidth="1"/>
    <col min="12553" max="12553" width="11.28515625" style="1" customWidth="1"/>
    <col min="12554" max="12554" width="11.140625" style="1" customWidth="1"/>
    <col min="12555" max="12560" width="11.28515625" style="1" customWidth="1"/>
    <col min="12561" max="12561" width="10.85546875" style="1" customWidth="1"/>
    <col min="12562" max="12562" width="11.28515625" style="1" customWidth="1"/>
    <col min="12563" max="12563" width="13" style="1" customWidth="1"/>
    <col min="12564" max="12800" width="9.140625" style="1"/>
    <col min="12801" max="12801" width="6.7109375" style="1" customWidth="1"/>
    <col min="12802" max="12802" width="25.140625" style="1" customWidth="1"/>
    <col min="12803" max="12803" width="16.42578125" style="1" customWidth="1"/>
    <col min="12804" max="12805" width="6.5703125" style="1" customWidth="1"/>
    <col min="12806" max="12806" width="13.42578125" style="1" customWidth="1"/>
    <col min="12807" max="12807" width="0" style="1" hidden="1" customWidth="1"/>
    <col min="12808" max="12808" width="11.5703125" style="1" customWidth="1"/>
    <col min="12809" max="12809" width="11.28515625" style="1" customWidth="1"/>
    <col min="12810" max="12810" width="11.140625" style="1" customWidth="1"/>
    <col min="12811" max="12816" width="11.28515625" style="1" customWidth="1"/>
    <col min="12817" max="12817" width="10.85546875" style="1" customWidth="1"/>
    <col min="12818" max="12818" width="11.28515625" style="1" customWidth="1"/>
    <col min="12819" max="12819" width="13" style="1" customWidth="1"/>
    <col min="12820" max="13056" width="9.140625" style="1"/>
    <col min="13057" max="13057" width="6.7109375" style="1" customWidth="1"/>
    <col min="13058" max="13058" width="25.140625" style="1" customWidth="1"/>
    <col min="13059" max="13059" width="16.42578125" style="1" customWidth="1"/>
    <col min="13060" max="13061" width="6.5703125" style="1" customWidth="1"/>
    <col min="13062" max="13062" width="13.42578125" style="1" customWidth="1"/>
    <col min="13063" max="13063" width="0" style="1" hidden="1" customWidth="1"/>
    <col min="13064" max="13064" width="11.5703125" style="1" customWidth="1"/>
    <col min="13065" max="13065" width="11.28515625" style="1" customWidth="1"/>
    <col min="13066" max="13066" width="11.140625" style="1" customWidth="1"/>
    <col min="13067" max="13072" width="11.28515625" style="1" customWidth="1"/>
    <col min="13073" max="13073" width="10.85546875" style="1" customWidth="1"/>
    <col min="13074" max="13074" width="11.28515625" style="1" customWidth="1"/>
    <col min="13075" max="13075" width="13" style="1" customWidth="1"/>
    <col min="13076" max="13312" width="9.140625" style="1"/>
    <col min="13313" max="13313" width="6.7109375" style="1" customWidth="1"/>
    <col min="13314" max="13314" width="25.140625" style="1" customWidth="1"/>
    <col min="13315" max="13315" width="16.42578125" style="1" customWidth="1"/>
    <col min="13316" max="13317" width="6.5703125" style="1" customWidth="1"/>
    <col min="13318" max="13318" width="13.42578125" style="1" customWidth="1"/>
    <col min="13319" max="13319" width="0" style="1" hidden="1" customWidth="1"/>
    <col min="13320" max="13320" width="11.5703125" style="1" customWidth="1"/>
    <col min="13321" max="13321" width="11.28515625" style="1" customWidth="1"/>
    <col min="13322" max="13322" width="11.140625" style="1" customWidth="1"/>
    <col min="13323" max="13328" width="11.28515625" style="1" customWidth="1"/>
    <col min="13329" max="13329" width="10.85546875" style="1" customWidth="1"/>
    <col min="13330" max="13330" width="11.28515625" style="1" customWidth="1"/>
    <col min="13331" max="13331" width="13" style="1" customWidth="1"/>
    <col min="13332" max="13568" width="9.140625" style="1"/>
    <col min="13569" max="13569" width="6.7109375" style="1" customWidth="1"/>
    <col min="13570" max="13570" width="25.140625" style="1" customWidth="1"/>
    <col min="13571" max="13571" width="16.42578125" style="1" customWidth="1"/>
    <col min="13572" max="13573" width="6.5703125" style="1" customWidth="1"/>
    <col min="13574" max="13574" width="13.42578125" style="1" customWidth="1"/>
    <col min="13575" max="13575" width="0" style="1" hidden="1" customWidth="1"/>
    <col min="13576" max="13576" width="11.5703125" style="1" customWidth="1"/>
    <col min="13577" max="13577" width="11.28515625" style="1" customWidth="1"/>
    <col min="13578" max="13578" width="11.140625" style="1" customWidth="1"/>
    <col min="13579" max="13584" width="11.28515625" style="1" customWidth="1"/>
    <col min="13585" max="13585" width="10.85546875" style="1" customWidth="1"/>
    <col min="13586" max="13586" width="11.28515625" style="1" customWidth="1"/>
    <col min="13587" max="13587" width="13" style="1" customWidth="1"/>
    <col min="13588" max="13824" width="9.140625" style="1"/>
    <col min="13825" max="13825" width="6.7109375" style="1" customWidth="1"/>
    <col min="13826" max="13826" width="25.140625" style="1" customWidth="1"/>
    <col min="13827" max="13827" width="16.42578125" style="1" customWidth="1"/>
    <col min="13828" max="13829" width="6.5703125" style="1" customWidth="1"/>
    <col min="13830" max="13830" width="13.42578125" style="1" customWidth="1"/>
    <col min="13831" max="13831" width="0" style="1" hidden="1" customWidth="1"/>
    <col min="13832" max="13832" width="11.5703125" style="1" customWidth="1"/>
    <col min="13833" max="13833" width="11.28515625" style="1" customWidth="1"/>
    <col min="13834" max="13834" width="11.140625" style="1" customWidth="1"/>
    <col min="13835" max="13840" width="11.28515625" style="1" customWidth="1"/>
    <col min="13841" max="13841" width="10.85546875" style="1" customWidth="1"/>
    <col min="13842" max="13842" width="11.28515625" style="1" customWidth="1"/>
    <col min="13843" max="13843" width="13" style="1" customWidth="1"/>
    <col min="13844" max="14080" width="9.140625" style="1"/>
    <col min="14081" max="14081" width="6.7109375" style="1" customWidth="1"/>
    <col min="14082" max="14082" width="25.140625" style="1" customWidth="1"/>
    <col min="14083" max="14083" width="16.42578125" style="1" customWidth="1"/>
    <col min="14084" max="14085" width="6.5703125" style="1" customWidth="1"/>
    <col min="14086" max="14086" width="13.42578125" style="1" customWidth="1"/>
    <col min="14087" max="14087" width="0" style="1" hidden="1" customWidth="1"/>
    <col min="14088" max="14088" width="11.5703125" style="1" customWidth="1"/>
    <col min="14089" max="14089" width="11.28515625" style="1" customWidth="1"/>
    <col min="14090" max="14090" width="11.140625" style="1" customWidth="1"/>
    <col min="14091" max="14096" width="11.28515625" style="1" customWidth="1"/>
    <col min="14097" max="14097" width="10.85546875" style="1" customWidth="1"/>
    <col min="14098" max="14098" width="11.28515625" style="1" customWidth="1"/>
    <col min="14099" max="14099" width="13" style="1" customWidth="1"/>
    <col min="14100" max="14336" width="9.140625" style="1"/>
    <col min="14337" max="14337" width="6.7109375" style="1" customWidth="1"/>
    <col min="14338" max="14338" width="25.140625" style="1" customWidth="1"/>
    <col min="14339" max="14339" width="16.42578125" style="1" customWidth="1"/>
    <col min="14340" max="14341" width="6.5703125" style="1" customWidth="1"/>
    <col min="14342" max="14342" width="13.42578125" style="1" customWidth="1"/>
    <col min="14343" max="14343" width="0" style="1" hidden="1" customWidth="1"/>
    <col min="14344" max="14344" width="11.5703125" style="1" customWidth="1"/>
    <col min="14345" max="14345" width="11.28515625" style="1" customWidth="1"/>
    <col min="14346" max="14346" width="11.140625" style="1" customWidth="1"/>
    <col min="14347" max="14352" width="11.28515625" style="1" customWidth="1"/>
    <col min="14353" max="14353" width="10.85546875" style="1" customWidth="1"/>
    <col min="14354" max="14354" width="11.28515625" style="1" customWidth="1"/>
    <col min="14355" max="14355" width="13" style="1" customWidth="1"/>
    <col min="14356" max="14592" width="9.140625" style="1"/>
    <col min="14593" max="14593" width="6.7109375" style="1" customWidth="1"/>
    <col min="14594" max="14594" width="25.140625" style="1" customWidth="1"/>
    <col min="14595" max="14595" width="16.42578125" style="1" customWidth="1"/>
    <col min="14596" max="14597" width="6.5703125" style="1" customWidth="1"/>
    <col min="14598" max="14598" width="13.42578125" style="1" customWidth="1"/>
    <col min="14599" max="14599" width="0" style="1" hidden="1" customWidth="1"/>
    <col min="14600" max="14600" width="11.5703125" style="1" customWidth="1"/>
    <col min="14601" max="14601" width="11.28515625" style="1" customWidth="1"/>
    <col min="14602" max="14602" width="11.140625" style="1" customWidth="1"/>
    <col min="14603" max="14608" width="11.28515625" style="1" customWidth="1"/>
    <col min="14609" max="14609" width="10.85546875" style="1" customWidth="1"/>
    <col min="14610" max="14610" width="11.28515625" style="1" customWidth="1"/>
    <col min="14611" max="14611" width="13" style="1" customWidth="1"/>
    <col min="14612" max="14848" width="9.140625" style="1"/>
    <col min="14849" max="14849" width="6.7109375" style="1" customWidth="1"/>
    <col min="14850" max="14850" width="25.140625" style="1" customWidth="1"/>
    <col min="14851" max="14851" width="16.42578125" style="1" customWidth="1"/>
    <col min="14852" max="14853" width="6.5703125" style="1" customWidth="1"/>
    <col min="14854" max="14854" width="13.42578125" style="1" customWidth="1"/>
    <col min="14855" max="14855" width="0" style="1" hidden="1" customWidth="1"/>
    <col min="14856" max="14856" width="11.5703125" style="1" customWidth="1"/>
    <col min="14857" max="14857" width="11.28515625" style="1" customWidth="1"/>
    <col min="14858" max="14858" width="11.140625" style="1" customWidth="1"/>
    <col min="14859" max="14864" width="11.28515625" style="1" customWidth="1"/>
    <col min="14865" max="14865" width="10.85546875" style="1" customWidth="1"/>
    <col min="14866" max="14866" width="11.28515625" style="1" customWidth="1"/>
    <col min="14867" max="14867" width="13" style="1" customWidth="1"/>
    <col min="14868" max="15104" width="9.140625" style="1"/>
    <col min="15105" max="15105" width="6.7109375" style="1" customWidth="1"/>
    <col min="15106" max="15106" width="25.140625" style="1" customWidth="1"/>
    <col min="15107" max="15107" width="16.42578125" style="1" customWidth="1"/>
    <col min="15108" max="15109" width="6.5703125" style="1" customWidth="1"/>
    <col min="15110" max="15110" width="13.42578125" style="1" customWidth="1"/>
    <col min="15111" max="15111" width="0" style="1" hidden="1" customWidth="1"/>
    <col min="15112" max="15112" width="11.5703125" style="1" customWidth="1"/>
    <col min="15113" max="15113" width="11.28515625" style="1" customWidth="1"/>
    <col min="15114" max="15114" width="11.140625" style="1" customWidth="1"/>
    <col min="15115" max="15120" width="11.28515625" style="1" customWidth="1"/>
    <col min="15121" max="15121" width="10.85546875" style="1" customWidth="1"/>
    <col min="15122" max="15122" width="11.28515625" style="1" customWidth="1"/>
    <col min="15123" max="15123" width="13" style="1" customWidth="1"/>
    <col min="15124" max="15360" width="9.140625" style="1"/>
    <col min="15361" max="15361" width="6.7109375" style="1" customWidth="1"/>
    <col min="15362" max="15362" width="25.140625" style="1" customWidth="1"/>
    <col min="15363" max="15363" width="16.42578125" style="1" customWidth="1"/>
    <col min="15364" max="15365" width="6.5703125" style="1" customWidth="1"/>
    <col min="15366" max="15366" width="13.42578125" style="1" customWidth="1"/>
    <col min="15367" max="15367" width="0" style="1" hidden="1" customWidth="1"/>
    <col min="15368" max="15368" width="11.5703125" style="1" customWidth="1"/>
    <col min="15369" max="15369" width="11.28515625" style="1" customWidth="1"/>
    <col min="15370" max="15370" width="11.140625" style="1" customWidth="1"/>
    <col min="15371" max="15376" width="11.28515625" style="1" customWidth="1"/>
    <col min="15377" max="15377" width="10.85546875" style="1" customWidth="1"/>
    <col min="15378" max="15378" width="11.28515625" style="1" customWidth="1"/>
    <col min="15379" max="15379" width="13" style="1" customWidth="1"/>
    <col min="15380" max="15616" width="9.140625" style="1"/>
    <col min="15617" max="15617" width="6.7109375" style="1" customWidth="1"/>
    <col min="15618" max="15618" width="25.140625" style="1" customWidth="1"/>
    <col min="15619" max="15619" width="16.42578125" style="1" customWidth="1"/>
    <col min="15620" max="15621" width="6.5703125" style="1" customWidth="1"/>
    <col min="15622" max="15622" width="13.42578125" style="1" customWidth="1"/>
    <col min="15623" max="15623" width="0" style="1" hidden="1" customWidth="1"/>
    <col min="15624" max="15624" width="11.5703125" style="1" customWidth="1"/>
    <col min="15625" max="15625" width="11.28515625" style="1" customWidth="1"/>
    <col min="15626" max="15626" width="11.140625" style="1" customWidth="1"/>
    <col min="15627" max="15632" width="11.28515625" style="1" customWidth="1"/>
    <col min="15633" max="15633" width="10.85546875" style="1" customWidth="1"/>
    <col min="15634" max="15634" width="11.28515625" style="1" customWidth="1"/>
    <col min="15635" max="15635" width="13" style="1" customWidth="1"/>
    <col min="15636" max="15872" width="9.140625" style="1"/>
    <col min="15873" max="15873" width="6.7109375" style="1" customWidth="1"/>
    <col min="15874" max="15874" width="25.140625" style="1" customWidth="1"/>
    <col min="15875" max="15875" width="16.42578125" style="1" customWidth="1"/>
    <col min="15876" max="15877" width="6.5703125" style="1" customWidth="1"/>
    <col min="15878" max="15878" width="13.42578125" style="1" customWidth="1"/>
    <col min="15879" max="15879" width="0" style="1" hidden="1" customWidth="1"/>
    <col min="15880" max="15880" width="11.5703125" style="1" customWidth="1"/>
    <col min="15881" max="15881" width="11.28515625" style="1" customWidth="1"/>
    <col min="15882" max="15882" width="11.140625" style="1" customWidth="1"/>
    <col min="15883" max="15888" width="11.28515625" style="1" customWidth="1"/>
    <col min="15889" max="15889" width="10.85546875" style="1" customWidth="1"/>
    <col min="15890" max="15890" width="11.28515625" style="1" customWidth="1"/>
    <col min="15891" max="15891" width="13" style="1" customWidth="1"/>
    <col min="15892" max="16128" width="9.140625" style="1"/>
    <col min="16129" max="16129" width="6.7109375" style="1" customWidth="1"/>
    <col min="16130" max="16130" width="25.140625" style="1" customWidth="1"/>
    <col min="16131" max="16131" width="16.42578125" style="1" customWidth="1"/>
    <col min="16132" max="16133" width="6.5703125" style="1" customWidth="1"/>
    <col min="16134" max="16134" width="13.42578125" style="1" customWidth="1"/>
    <col min="16135" max="16135" width="0" style="1" hidden="1" customWidth="1"/>
    <col min="16136" max="16136" width="11.5703125" style="1" customWidth="1"/>
    <col min="16137" max="16137" width="11.28515625" style="1" customWidth="1"/>
    <col min="16138" max="16138" width="11.140625" style="1" customWidth="1"/>
    <col min="16139" max="16144" width="11.28515625" style="1" customWidth="1"/>
    <col min="16145" max="16145" width="10.85546875" style="1" customWidth="1"/>
    <col min="16146" max="16146" width="11.28515625" style="1" customWidth="1"/>
    <col min="16147" max="16147" width="13" style="1" customWidth="1"/>
    <col min="16148" max="16384" width="9.140625" style="1"/>
  </cols>
  <sheetData>
    <row r="1" spans="1:21" ht="22.5" customHeight="1">
      <c r="K1" s="508" t="s">
        <v>617</v>
      </c>
      <c r="L1" s="508"/>
      <c r="M1" s="508"/>
      <c r="N1" s="508"/>
      <c r="O1" s="508"/>
      <c r="P1" s="508"/>
      <c r="Q1" s="508"/>
      <c r="R1" s="508"/>
      <c r="S1" s="508"/>
    </row>
    <row r="2" spans="1:21" ht="22.5" customHeight="1">
      <c r="K2" s="142"/>
      <c r="L2" s="142"/>
      <c r="M2" s="142"/>
      <c r="N2" s="142"/>
      <c r="O2" s="142"/>
      <c r="P2" s="142"/>
      <c r="Q2" s="142"/>
      <c r="R2" s="142"/>
      <c r="S2" s="142"/>
    </row>
    <row r="3" spans="1:21" s="2" customFormat="1" ht="25.5" customHeight="1" thickBot="1">
      <c r="A3" s="509" t="s">
        <v>198</v>
      </c>
      <c r="B3" s="509"/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09"/>
      <c r="S3" s="509"/>
      <c r="U3" s="1"/>
    </row>
    <row r="4" spans="1:21" s="6" customFormat="1" ht="0.75" hidden="1" customHeight="1" thickBot="1">
      <c r="A4" s="3"/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5"/>
      <c r="Q4" s="5"/>
      <c r="R4" s="5"/>
      <c r="S4" s="5" t="s">
        <v>7</v>
      </c>
    </row>
    <row r="5" spans="1:21" s="7" customFormat="1" ht="64.5" customHeight="1">
      <c r="A5" s="516" t="s">
        <v>0</v>
      </c>
      <c r="B5" s="517" t="s">
        <v>8</v>
      </c>
      <c r="C5" s="518" t="s">
        <v>9</v>
      </c>
      <c r="D5" s="519" t="s">
        <v>10</v>
      </c>
      <c r="E5" s="519"/>
      <c r="F5" s="517" t="s">
        <v>11</v>
      </c>
      <c r="G5" s="520"/>
      <c r="H5" s="521"/>
      <c r="I5" s="521"/>
      <c r="J5" s="521"/>
      <c r="K5" s="521"/>
      <c r="L5" s="521"/>
      <c r="M5" s="521"/>
      <c r="N5" s="521"/>
      <c r="O5" s="521"/>
      <c r="P5" s="521"/>
      <c r="Q5" s="521"/>
      <c r="R5" s="522"/>
      <c r="S5" s="523" t="s">
        <v>12</v>
      </c>
    </row>
    <row r="6" spans="1:21" s="7" customFormat="1" ht="51" customHeight="1" thickBot="1">
      <c r="A6" s="524"/>
      <c r="B6" s="525"/>
      <c r="C6" s="526"/>
      <c r="D6" s="527" t="s">
        <v>13</v>
      </c>
      <c r="E6" s="527" t="s">
        <v>14</v>
      </c>
      <c r="F6" s="525"/>
      <c r="G6" s="528" t="s">
        <v>15</v>
      </c>
      <c r="H6" s="528" t="s">
        <v>16</v>
      </c>
      <c r="I6" s="528" t="s">
        <v>17</v>
      </c>
      <c r="J6" s="528" t="s">
        <v>18</v>
      </c>
      <c r="K6" s="528" t="s">
        <v>19</v>
      </c>
      <c r="L6" s="528" t="s">
        <v>20</v>
      </c>
      <c r="M6" s="528" t="s">
        <v>21</v>
      </c>
      <c r="N6" s="528" t="s">
        <v>22</v>
      </c>
      <c r="O6" s="528" t="s">
        <v>23</v>
      </c>
      <c r="P6" s="528" t="s">
        <v>24</v>
      </c>
      <c r="Q6" s="529" t="s">
        <v>25</v>
      </c>
      <c r="R6" s="529" t="s">
        <v>26</v>
      </c>
      <c r="S6" s="530"/>
    </row>
    <row r="7" spans="1:21" s="11" customFormat="1" ht="13.5" customHeight="1">
      <c r="A7" s="8">
        <v>1</v>
      </c>
      <c r="B7" s="9">
        <v>2</v>
      </c>
      <c r="C7" s="8">
        <v>3</v>
      </c>
      <c r="D7" s="9">
        <v>4</v>
      </c>
      <c r="E7" s="8">
        <v>5</v>
      </c>
      <c r="F7" s="9">
        <v>6</v>
      </c>
      <c r="G7" s="8"/>
      <c r="H7" s="9">
        <v>7</v>
      </c>
      <c r="I7" s="9">
        <v>8</v>
      </c>
      <c r="J7" s="9">
        <v>9</v>
      </c>
      <c r="K7" s="9">
        <v>10</v>
      </c>
      <c r="L7" s="9">
        <v>11</v>
      </c>
      <c r="M7" s="9">
        <v>12</v>
      </c>
      <c r="N7" s="9">
        <v>13</v>
      </c>
      <c r="O7" s="9">
        <v>14</v>
      </c>
      <c r="P7" s="9">
        <v>15</v>
      </c>
      <c r="Q7" s="9">
        <v>16</v>
      </c>
      <c r="R7" s="9">
        <v>17</v>
      </c>
      <c r="S7" s="10">
        <v>18</v>
      </c>
    </row>
    <row r="8" spans="1:21" s="15" customFormat="1">
      <c r="A8" s="139" t="s">
        <v>27</v>
      </c>
      <c r="B8" s="510" t="s">
        <v>28</v>
      </c>
      <c r="C8" s="510"/>
      <c r="D8" s="510"/>
      <c r="E8" s="510"/>
      <c r="F8" s="140">
        <f t="shared" ref="F8:S8" si="0">F11++F39+F51</f>
        <v>52706368</v>
      </c>
      <c r="G8" s="140" t="e">
        <f t="shared" si="0"/>
        <v>#REF!</v>
      </c>
      <c r="H8" s="140">
        <f t="shared" si="0"/>
        <v>1998109</v>
      </c>
      <c r="I8" s="140">
        <f t="shared" si="0"/>
        <v>2958231</v>
      </c>
      <c r="J8" s="140">
        <f t="shared" si="0"/>
        <v>2266756</v>
      </c>
      <c r="K8" s="140">
        <f t="shared" si="0"/>
        <v>2456617</v>
      </c>
      <c r="L8" s="140">
        <f t="shared" si="0"/>
        <v>3299481</v>
      </c>
      <c r="M8" s="140">
        <f t="shared" si="0"/>
        <v>2994000</v>
      </c>
      <c r="N8" s="140">
        <f t="shared" si="0"/>
        <v>3607800</v>
      </c>
      <c r="O8" s="140">
        <f t="shared" si="0"/>
        <v>3100500</v>
      </c>
      <c r="P8" s="140">
        <f t="shared" si="0"/>
        <v>6151000</v>
      </c>
      <c r="Q8" s="140">
        <f t="shared" si="0"/>
        <v>9177000</v>
      </c>
      <c r="R8" s="140">
        <f t="shared" si="0"/>
        <v>9827000</v>
      </c>
      <c r="S8" s="141">
        <f t="shared" si="0"/>
        <v>45838385</v>
      </c>
    </row>
    <row r="9" spans="1:21" s="15" customFormat="1">
      <c r="A9" s="12" t="s">
        <v>29</v>
      </c>
      <c r="B9" s="511" t="s">
        <v>30</v>
      </c>
      <c r="C9" s="511"/>
      <c r="D9" s="511"/>
      <c r="E9" s="511"/>
      <c r="F9" s="13">
        <f t="shared" ref="F9:S9" si="1">F12+F40+F52</f>
        <v>4516353</v>
      </c>
      <c r="G9" s="13">
        <f t="shared" si="1"/>
        <v>0</v>
      </c>
      <c r="H9" s="13">
        <f t="shared" si="1"/>
        <v>648376</v>
      </c>
      <c r="I9" s="13">
        <f t="shared" si="1"/>
        <v>620295</v>
      </c>
      <c r="J9" s="13">
        <f t="shared" si="1"/>
        <v>357212</v>
      </c>
      <c r="K9" s="13">
        <f t="shared" si="1"/>
        <v>249000</v>
      </c>
      <c r="L9" s="13">
        <f t="shared" si="1"/>
        <v>249000</v>
      </c>
      <c r="M9" s="13">
        <f t="shared" si="1"/>
        <v>199000</v>
      </c>
      <c r="N9" s="13">
        <f t="shared" si="1"/>
        <v>101000</v>
      </c>
      <c r="O9" s="13">
        <f t="shared" si="1"/>
        <v>41000</v>
      </c>
      <c r="P9" s="13">
        <f t="shared" si="1"/>
        <v>17000</v>
      </c>
      <c r="Q9" s="13">
        <f t="shared" si="1"/>
        <v>17000</v>
      </c>
      <c r="R9" s="13">
        <f t="shared" si="1"/>
        <v>17000</v>
      </c>
      <c r="S9" s="14">
        <f t="shared" si="1"/>
        <v>1867507</v>
      </c>
    </row>
    <row r="10" spans="1:21" s="15" customFormat="1" ht="15" thickBot="1">
      <c r="A10" s="16" t="s">
        <v>31</v>
      </c>
      <c r="B10" s="512" t="s">
        <v>32</v>
      </c>
      <c r="C10" s="512"/>
      <c r="D10" s="512"/>
      <c r="E10" s="512"/>
      <c r="F10" s="17">
        <f t="shared" ref="F10:S10" si="2">F17+F41+F63</f>
        <v>48190015</v>
      </c>
      <c r="G10" s="17" t="e">
        <f t="shared" si="2"/>
        <v>#REF!</v>
      </c>
      <c r="H10" s="17">
        <f t="shared" si="2"/>
        <v>1349733</v>
      </c>
      <c r="I10" s="17">
        <f t="shared" si="2"/>
        <v>2337936</v>
      </c>
      <c r="J10" s="17">
        <f t="shared" si="2"/>
        <v>1909544</v>
      </c>
      <c r="K10" s="17">
        <f t="shared" si="2"/>
        <v>2207617</v>
      </c>
      <c r="L10" s="17">
        <f t="shared" si="2"/>
        <v>3050481</v>
      </c>
      <c r="M10" s="17">
        <f t="shared" si="2"/>
        <v>2795000</v>
      </c>
      <c r="N10" s="17">
        <f t="shared" si="2"/>
        <v>3506800</v>
      </c>
      <c r="O10" s="17">
        <f t="shared" si="2"/>
        <v>3059500</v>
      </c>
      <c r="P10" s="17">
        <f t="shared" si="2"/>
        <v>6134000</v>
      </c>
      <c r="Q10" s="17">
        <f t="shared" si="2"/>
        <v>9160000</v>
      </c>
      <c r="R10" s="17">
        <f t="shared" si="2"/>
        <v>9810000</v>
      </c>
      <c r="S10" s="18">
        <f t="shared" si="2"/>
        <v>43970878</v>
      </c>
    </row>
    <row r="11" spans="1:21" s="85" customFormat="1" ht="66.75" customHeight="1" thickBot="1">
      <c r="A11" s="145" t="s">
        <v>1</v>
      </c>
      <c r="B11" s="513" t="s">
        <v>33</v>
      </c>
      <c r="C11" s="514"/>
      <c r="D11" s="514"/>
      <c r="E11" s="515"/>
      <c r="F11" s="146">
        <f t="shared" ref="F11:S11" si="3">F12+F17</f>
        <v>34740145</v>
      </c>
      <c r="G11" s="146" t="e">
        <f t="shared" si="3"/>
        <v>#REF!</v>
      </c>
      <c r="H11" s="146">
        <f t="shared" si="3"/>
        <v>648376</v>
      </c>
      <c r="I11" s="146">
        <f t="shared" si="3"/>
        <v>1779087</v>
      </c>
      <c r="J11" s="146">
        <f t="shared" si="3"/>
        <v>387212</v>
      </c>
      <c r="K11" s="146">
        <f t="shared" si="3"/>
        <v>637430</v>
      </c>
      <c r="L11" s="146">
        <f t="shared" si="3"/>
        <v>1510000</v>
      </c>
      <c r="M11" s="146">
        <f t="shared" si="3"/>
        <v>1785000</v>
      </c>
      <c r="N11" s="146">
        <f t="shared" si="3"/>
        <v>2346800</v>
      </c>
      <c r="O11" s="146">
        <f t="shared" si="3"/>
        <v>1750000</v>
      </c>
      <c r="P11" s="146">
        <f t="shared" si="3"/>
        <v>4674000</v>
      </c>
      <c r="Q11" s="146">
        <f t="shared" si="3"/>
        <v>8200000</v>
      </c>
      <c r="R11" s="146">
        <f t="shared" si="3"/>
        <v>8850000</v>
      </c>
      <c r="S11" s="147">
        <f t="shared" si="3"/>
        <v>31919529</v>
      </c>
    </row>
    <row r="12" spans="1:21" s="85" customFormat="1" ht="15" thickBot="1">
      <c r="A12" s="148" t="s">
        <v>2</v>
      </c>
      <c r="B12" s="505" t="s">
        <v>30</v>
      </c>
      <c r="C12" s="506"/>
      <c r="D12" s="506"/>
      <c r="E12" s="507"/>
      <c r="F12" s="149">
        <f t="shared" ref="F12:S12" si="4">SUM(F13:F16)</f>
        <v>3891353</v>
      </c>
      <c r="G12" s="149">
        <f t="shared" si="4"/>
        <v>0</v>
      </c>
      <c r="H12" s="149">
        <f t="shared" si="4"/>
        <v>648376</v>
      </c>
      <c r="I12" s="149">
        <f t="shared" si="4"/>
        <v>615295</v>
      </c>
      <c r="J12" s="149">
        <f t="shared" si="4"/>
        <v>287212</v>
      </c>
      <c r="K12" s="149">
        <f t="shared" si="4"/>
        <v>110000</v>
      </c>
      <c r="L12" s="149">
        <f t="shared" si="4"/>
        <v>110000</v>
      </c>
      <c r="M12" s="149">
        <f t="shared" si="4"/>
        <v>60000</v>
      </c>
      <c r="N12" s="149">
        <f t="shared" si="4"/>
        <v>60000</v>
      </c>
      <c r="O12" s="149">
        <f t="shared" si="4"/>
        <v>0</v>
      </c>
      <c r="P12" s="149">
        <f t="shared" si="4"/>
        <v>0</v>
      </c>
      <c r="Q12" s="149">
        <f t="shared" si="4"/>
        <v>0</v>
      </c>
      <c r="R12" s="149">
        <f t="shared" si="4"/>
        <v>0</v>
      </c>
      <c r="S12" s="150">
        <f t="shared" si="4"/>
        <v>1242507</v>
      </c>
    </row>
    <row r="13" spans="1:21" s="15" customFormat="1" ht="36">
      <c r="A13" s="144" t="s">
        <v>34</v>
      </c>
      <c r="B13" s="19" t="s">
        <v>35</v>
      </c>
      <c r="C13" s="20" t="s">
        <v>36</v>
      </c>
      <c r="D13" s="21">
        <v>2009</v>
      </c>
      <c r="E13" s="21">
        <v>2019</v>
      </c>
      <c r="F13" s="22">
        <v>1948011</v>
      </c>
      <c r="G13" s="23"/>
      <c r="H13" s="23">
        <v>118641</v>
      </c>
      <c r="I13" s="23">
        <v>145296</v>
      </c>
      <c r="J13" s="24">
        <v>60000</v>
      </c>
      <c r="K13" s="24">
        <v>60000</v>
      </c>
      <c r="L13" s="24">
        <v>60000</v>
      </c>
      <c r="M13" s="24">
        <v>60000</v>
      </c>
      <c r="N13" s="24">
        <v>60000</v>
      </c>
      <c r="O13" s="25" t="s">
        <v>37</v>
      </c>
      <c r="P13" s="25" t="s">
        <v>37</v>
      </c>
      <c r="Q13" s="25" t="s">
        <v>37</v>
      </c>
      <c r="R13" s="25" t="s">
        <v>37</v>
      </c>
      <c r="S13" s="26">
        <f>SUM(I13:R13)</f>
        <v>445296</v>
      </c>
    </row>
    <row r="14" spans="1:21" s="34" customFormat="1" ht="24">
      <c r="A14" s="27" t="s">
        <v>38</v>
      </c>
      <c r="B14" s="28" t="s">
        <v>39</v>
      </c>
      <c r="C14" s="29" t="s">
        <v>40</v>
      </c>
      <c r="D14" s="30">
        <v>2008</v>
      </c>
      <c r="E14" s="30">
        <v>2014</v>
      </c>
      <c r="F14" s="31">
        <v>482273</v>
      </c>
      <c r="G14" s="32"/>
      <c r="H14" s="32">
        <v>122940</v>
      </c>
      <c r="I14" s="33">
        <v>60282</v>
      </c>
      <c r="J14" s="31" t="s">
        <v>37</v>
      </c>
      <c r="K14" s="31" t="s">
        <v>37</v>
      </c>
      <c r="L14" s="31" t="s">
        <v>37</v>
      </c>
      <c r="M14" s="31" t="s">
        <v>37</v>
      </c>
      <c r="N14" s="31" t="s">
        <v>37</v>
      </c>
      <c r="O14" s="31" t="s">
        <v>37</v>
      </c>
      <c r="P14" s="31" t="s">
        <v>37</v>
      </c>
      <c r="Q14" s="31" t="s">
        <v>37</v>
      </c>
      <c r="R14" s="31" t="s">
        <v>37</v>
      </c>
      <c r="S14" s="26">
        <f t="shared" ref="S14:S38" si="5">SUM(I14:R14)</f>
        <v>60282</v>
      </c>
    </row>
    <row r="15" spans="1:21" s="42" customFormat="1" ht="75" customHeight="1">
      <c r="A15" s="27" t="s">
        <v>41</v>
      </c>
      <c r="B15" s="35" t="s">
        <v>42</v>
      </c>
      <c r="C15" s="36" t="s">
        <v>43</v>
      </c>
      <c r="D15" s="37">
        <v>2012</v>
      </c>
      <c r="E15" s="37">
        <v>2015</v>
      </c>
      <c r="F15" s="38">
        <v>1361069</v>
      </c>
      <c r="G15" s="39"/>
      <c r="H15" s="39">
        <v>406795</v>
      </c>
      <c r="I15" s="39">
        <v>409717</v>
      </c>
      <c r="J15" s="39">
        <v>227212</v>
      </c>
      <c r="K15" s="40" t="s">
        <v>37</v>
      </c>
      <c r="L15" s="41" t="s">
        <v>37</v>
      </c>
      <c r="M15" s="41" t="s">
        <v>37</v>
      </c>
      <c r="N15" s="41" t="s">
        <v>37</v>
      </c>
      <c r="O15" s="41" t="s">
        <v>37</v>
      </c>
      <c r="P15" s="41" t="s">
        <v>37</v>
      </c>
      <c r="Q15" s="41" t="s">
        <v>37</v>
      </c>
      <c r="R15" s="41" t="s">
        <v>37</v>
      </c>
      <c r="S15" s="26">
        <f t="shared" si="5"/>
        <v>636929</v>
      </c>
    </row>
    <row r="16" spans="1:21" s="42" customFormat="1" ht="181.5" customHeight="1">
      <c r="A16" s="27" t="s">
        <v>44</v>
      </c>
      <c r="B16" s="174" t="s">
        <v>53</v>
      </c>
      <c r="C16" s="44" t="s">
        <v>54</v>
      </c>
      <c r="D16" s="175">
        <v>2016</v>
      </c>
      <c r="E16" s="175">
        <v>2017</v>
      </c>
      <c r="F16" s="91">
        <v>100000</v>
      </c>
      <c r="G16" s="92"/>
      <c r="H16" s="92"/>
      <c r="I16" s="62" t="s">
        <v>37</v>
      </c>
      <c r="J16" s="62" t="s">
        <v>37</v>
      </c>
      <c r="K16" s="92">
        <v>50000</v>
      </c>
      <c r="L16" s="92">
        <v>50000</v>
      </c>
      <c r="M16" s="62" t="s">
        <v>37</v>
      </c>
      <c r="N16" s="62" t="s">
        <v>37</v>
      </c>
      <c r="O16" s="62" t="s">
        <v>37</v>
      </c>
      <c r="P16" s="62" t="s">
        <v>37</v>
      </c>
      <c r="Q16" s="62" t="s">
        <v>37</v>
      </c>
      <c r="R16" s="62" t="s">
        <v>37</v>
      </c>
      <c r="S16" s="170">
        <f t="shared" si="5"/>
        <v>100000</v>
      </c>
    </row>
    <row r="17" spans="1:19" s="57" customFormat="1" ht="15" thickBot="1">
      <c r="A17" s="183" t="s">
        <v>3</v>
      </c>
      <c r="B17" s="505" t="s">
        <v>32</v>
      </c>
      <c r="C17" s="506"/>
      <c r="D17" s="506"/>
      <c r="E17" s="507"/>
      <c r="F17" s="149">
        <f>SUM(F18:F38)</f>
        <v>30848792</v>
      </c>
      <c r="G17" s="149" t="e">
        <f t="shared" ref="G17:H17" si="6">SUM(G18:G37)</f>
        <v>#REF!</v>
      </c>
      <c r="H17" s="149">
        <f t="shared" si="6"/>
        <v>0</v>
      </c>
      <c r="I17" s="149">
        <f>SUM(I18:I38)</f>
        <v>1163792</v>
      </c>
      <c r="J17" s="149">
        <f t="shared" ref="J17:S17" si="7">SUM(J18:J38)</f>
        <v>100000</v>
      </c>
      <c r="K17" s="149">
        <f t="shared" si="7"/>
        <v>527430</v>
      </c>
      <c r="L17" s="149">
        <f t="shared" si="7"/>
        <v>1400000</v>
      </c>
      <c r="M17" s="149">
        <f t="shared" si="7"/>
        <v>1725000</v>
      </c>
      <c r="N17" s="149">
        <f t="shared" si="7"/>
        <v>2286800</v>
      </c>
      <c r="O17" s="149">
        <f t="shared" si="7"/>
        <v>1750000</v>
      </c>
      <c r="P17" s="149">
        <f t="shared" si="7"/>
        <v>4674000</v>
      </c>
      <c r="Q17" s="149">
        <f t="shared" si="7"/>
        <v>8200000</v>
      </c>
      <c r="R17" s="149">
        <f t="shared" si="7"/>
        <v>8850000</v>
      </c>
      <c r="S17" s="150">
        <f t="shared" si="7"/>
        <v>30677022</v>
      </c>
    </row>
    <row r="18" spans="1:19" s="42" customFormat="1" ht="78" customHeight="1">
      <c r="A18" s="144" t="s">
        <v>55</v>
      </c>
      <c r="B18" s="58" t="s">
        <v>197</v>
      </c>
      <c r="C18" s="44" t="s">
        <v>56</v>
      </c>
      <c r="D18" s="59">
        <v>2013</v>
      </c>
      <c r="E18" s="59">
        <v>2014</v>
      </c>
      <c r="F18" s="60">
        <v>995765</v>
      </c>
      <c r="G18" s="61"/>
      <c r="H18" s="62" t="s">
        <v>37</v>
      </c>
      <c r="I18" s="63">
        <v>995765</v>
      </c>
      <c r="J18" s="62" t="s">
        <v>37</v>
      </c>
      <c r="K18" s="62" t="s">
        <v>37</v>
      </c>
      <c r="L18" s="62" t="s">
        <v>37</v>
      </c>
      <c r="M18" s="62" t="s">
        <v>37</v>
      </c>
      <c r="N18" s="62" t="s">
        <v>37</v>
      </c>
      <c r="O18" s="62" t="s">
        <v>37</v>
      </c>
      <c r="P18" s="62" t="s">
        <v>37</v>
      </c>
      <c r="Q18" s="62" t="s">
        <v>37</v>
      </c>
      <c r="R18" s="62" t="s">
        <v>37</v>
      </c>
      <c r="S18" s="26">
        <f t="shared" si="5"/>
        <v>995765</v>
      </c>
    </row>
    <row r="19" spans="1:19" s="42" customFormat="1" ht="36" customHeight="1">
      <c r="A19" s="27" t="s">
        <v>57</v>
      </c>
      <c r="B19" s="58" t="s">
        <v>58</v>
      </c>
      <c r="C19" s="44" t="s">
        <v>59</v>
      </c>
      <c r="D19" s="59">
        <v>2022</v>
      </c>
      <c r="E19" s="59">
        <v>2023</v>
      </c>
      <c r="F19" s="60">
        <v>4500000</v>
      </c>
      <c r="G19" s="61"/>
      <c r="H19" s="62" t="s">
        <v>37</v>
      </c>
      <c r="I19" s="64" t="s">
        <v>196</v>
      </c>
      <c r="J19" s="62" t="s">
        <v>37</v>
      </c>
      <c r="K19" s="63">
        <v>0</v>
      </c>
      <c r="L19" s="63">
        <v>0</v>
      </c>
      <c r="M19" s="64">
        <v>0</v>
      </c>
      <c r="N19" s="64">
        <v>0</v>
      </c>
      <c r="O19" s="64">
        <v>0</v>
      </c>
      <c r="P19" s="62" t="s">
        <v>37</v>
      </c>
      <c r="Q19" s="64">
        <v>2000000</v>
      </c>
      <c r="R19" s="64">
        <v>2500000</v>
      </c>
      <c r="S19" s="26">
        <f t="shared" si="5"/>
        <v>4500000</v>
      </c>
    </row>
    <row r="20" spans="1:19" s="42" customFormat="1" ht="38.25" customHeight="1">
      <c r="A20" s="27" t="s">
        <v>60</v>
      </c>
      <c r="B20" s="58" t="s">
        <v>61</v>
      </c>
      <c r="C20" s="44" t="s">
        <v>62</v>
      </c>
      <c r="D20" s="59">
        <v>2017</v>
      </c>
      <c r="E20" s="59">
        <v>2018</v>
      </c>
      <c r="F20" s="60">
        <v>500000</v>
      </c>
      <c r="G20" s="61"/>
      <c r="H20" s="62">
        <v>0</v>
      </c>
      <c r="I20" s="62" t="s">
        <v>37</v>
      </c>
      <c r="J20" s="64" t="s">
        <v>196</v>
      </c>
      <c r="K20" s="64" t="s">
        <v>196</v>
      </c>
      <c r="L20" s="63">
        <v>100000</v>
      </c>
      <c r="M20" s="64">
        <v>400000</v>
      </c>
      <c r="N20" s="62">
        <v>0</v>
      </c>
      <c r="O20" s="62">
        <v>0</v>
      </c>
      <c r="P20" s="62">
        <v>0</v>
      </c>
      <c r="Q20" s="62">
        <v>0</v>
      </c>
      <c r="R20" s="62"/>
      <c r="S20" s="26">
        <f t="shared" si="5"/>
        <v>500000</v>
      </c>
    </row>
    <row r="21" spans="1:19" s="42" customFormat="1" ht="36">
      <c r="A21" s="27" t="s">
        <v>63</v>
      </c>
      <c r="B21" s="65" t="s">
        <v>64</v>
      </c>
      <c r="C21" s="44" t="s">
        <v>65</v>
      </c>
      <c r="D21" s="59">
        <v>2021</v>
      </c>
      <c r="E21" s="59">
        <v>2023</v>
      </c>
      <c r="F21" s="60">
        <v>5000000</v>
      </c>
      <c r="G21" s="61"/>
      <c r="H21" s="62" t="s">
        <v>37</v>
      </c>
      <c r="I21" s="62" t="s">
        <v>37</v>
      </c>
      <c r="J21" s="62" t="s">
        <v>37</v>
      </c>
      <c r="K21" s="62" t="s">
        <v>37</v>
      </c>
      <c r="L21" s="62" t="s">
        <v>37</v>
      </c>
      <c r="M21" s="62" t="s">
        <v>37</v>
      </c>
      <c r="N21" s="63">
        <v>0</v>
      </c>
      <c r="O21" s="64">
        <v>0</v>
      </c>
      <c r="P21" s="64">
        <v>1500000</v>
      </c>
      <c r="Q21" s="64">
        <v>1500000</v>
      </c>
      <c r="R21" s="64">
        <v>2000000</v>
      </c>
      <c r="S21" s="26">
        <f t="shared" si="5"/>
        <v>5000000</v>
      </c>
    </row>
    <row r="22" spans="1:19" s="42" customFormat="1" ht="36.75" customHeight="1">
      <c r="A22" s="27" t="s">
        <v>66</v>
      </c>
      <c r="B22" s="66" t="s">
        <v>67</v>
      </c>
      <c r="C22" s="44" t="s">
        <v>68</v>
      </c>
      <c r="D22" s="59">
        <v>2017</v>
      </c>
      <c r="E22" s="59">
        <v>2019</v>
      </c>
      <c r="F22" s="60">
        <v>2500000</v>
      </c>
      <c r="G22" s="61"/>
      <c r="H22" s="62"/>
      <c r="I22" s="62" t="s">
        <v>37</v>
      </c>
      <c r="J22" s="62" t="s">
        <v>37</v>
      </c>
      <c r="K22" s="62" t="s">
        <v>37</v>
      </c>
      <c r="L22" s="64">
        <v>500000</v>
      </c>
      <c r="M22" s="64">
        <v>1000000</v>
      </c>
      <c r="N22" s="63">
        <v>1000000</v>
      </c>
      <c r="O22" s="64">
        <v>0</v>
      </c>
      <c r="P22" s="64">
        <v>0</v>
      </c>
      <c r="Q22" s="64">
        <v>0</v>
      </c>
      <c r="R22" s="64">
        <v>0</v>
      </c>
      <c r="S22" s="26">
        <f t="shared" si="5"/>
        <v>2500000</v>
      </c>
    </row>
    <row r="23" spans="1:19" s="34" customFormat="1" ht="36.75" customHeight="1">
      <c r="A23" s="27" t="s">
        <v>69</v>
      </c>
      <c r="B23" s="67" t="s">
        <v>70</v>
      </c>
      <c r="C23" s="44" t="s">
        <v>71</v>
      </c>
      <c r="D23" s="59">
        <v>2012</v>
      </c>
      <c r="E23" s="59">
        <v>2023</v>
      </c>
      <c r="F23" s="60">
        <v>3000000</v>
      </c>
      <c r="G23" s="63"/>
      <c r="H23" s="62" t="s">
        <v>37</v>
      </c>
      <c r="I23" s="62" t="s">
        <v>37</v>
      </c>
      <c r="J23" s="62" t="s">
        <v>37</v>
      </c>
      <c r="K23" s="62" t="s">
        <v>37</v>
      </c>
      <c r="L23" s="62" t="s">
        <v>37</v>
      </c>
      <c r="M23" s="62" t="s">
        <v>37</v>
      </c>
      <c r="N23" s="62" t="s">
        <v>37</v>
      </c>
      <c r="O23" s="62" t="s">
        <v>37</v>
      </c>
      <c r="P23" s="64">
        <v>724000</v>
      </c>
      <c r="Q23" s="64">
        <v>1000000</v>
      </c>
      <c r="R23" s="64">
        <v>1200000</v>
      </c>
      <c r="S23" s="170">
        <f t="shared" si="5"/>
        <v>2924000</v>
      </c>
    </row>
    <row r="24" spans="1:19" s="42" customFormat="1" ht="51" customHeight="1">
      <c r="A24" s="27" t="s">
        <v>72</v>
      </c>
      <c r="B24" s="58" t="s">
        <v>73</v>
      </c>
      <c r="C24" s="44" t="s">
        <v>74</v>
      </c>
      <c r="D24" s="59">
        <v>2019</v>
      </c>
      <c r="E24" s="59">
        <v>2020</v>
      </c>
      <c r="F24" s="60">
        <v>600000</v>
      </c>
      <c r="G24" s="63"/>
      <c r="H24" s="62" t="s">
        <v>37</v>
      </c>
      <c r="I24" s="62" t="s">
        <v>37</v>
      </c>
      <c r="J24" s="62" t="s">
        <v>37</v>
      </c>
      <c r="K24" s="62" t="s">
        <v>37</v>
      </c>
      <c r="L24" s="62" t="s">
        <v>37</v>
      </c>
      <c r="M24" s="62" t="s">
        <v>37</v>
      </c>
      <c r="N24" s="64">
        <v>50000</v>
      </c>
      <c r="O24" s="64">
        <v>550000</v>
      </c>
      <c r="P24" s="62" t="s">
        <v>37</v>
      </c>
      <c r="Q24" s="62" t="s">
        <v>37</v>
      </c>
      <c r="R24" s="62" t="s">
        <v>37</v>
      </c>
      <c r="S24" s="26">
        <f t="shared" si="5"/>
        <v>600000</v>
      </c>
    </row>
    <row r="25" spans="1:19" s="34" customFormat="1" ht="44.25" customHeight="1">
      <c r="A25" s="27" t="s">
        <v>75</v>
      </c>
      <c r="B25" s="58" t="s">
        <v>76</v>
      </c>
      <c r="C25" s="44" t="s">
        <v>77</v>
      </c>
      <c r="D25" s="59">
        <v>2016</v>
      </c>
      <c r="E25" s="59">
        <v>2017</v>
      </c>
      <c r="F25" s="60">
        <v>600000</v>
      </c>
      <c r="G25" s="60" t="e">
        <f>SUM(#REF!)</f>
        <v>#REF!</v>
      </c>
      <c r="H25" s="62" t="s">
        <v>37</v>
      </c>
      <c r="I25" s="62" t="s">
        <v>37</v>
      </c>
      <c r="J25" s="64" t="s">
        <v>196</v>
      </c>
      <c r="K25" s="64">
        <v>50000</v>
      </c>
      <c r="L25" s="62">
        <v>550000</v>
      </c>
      <c r="M25" s="62">
        <v>0</v>
      </c>
      <c r="N25" s="62" t="s">
        <v>37</v>
      </c>
      <c r="O25" s="62" t="s">
        <v>37</v>
      </c>
      <c r="P25" s="62" t="s">
        <v>37</v>
      </c>
      <c r="Q25" s="62" t="s">
        <v>37</v>
      </c>
      <c r="R25" s="62" t="s">
        <v>37</v>
      </c>
      <c r="S25" s="26">
        <f t="shared" si="5"/>
        <v>600000</v>
      </c>
    </row>
    <row r="26" spans="1:19" s="42" customFormat="1" ht="48">
      <c r="A26" s="27" t="s">
        <v>78</v>
      </c>
      <c r="B26" s="58" t="s">
        <v>79</v>
      </c>
      <c r="C26" s="44" t="s">
        <v>80</v>
      </c>
      <c r="D26" s="59">
        <v>2021</v>
      </c>
      <c r="E26" s="59">
        <v>2022</v>
      </c>
      <c r="F26" s="60">
        <v>800000</v>
      </c>
      <c r="G26" s="63" t="e">
        <f>SUM(#REF!)</f>
        <v>#REF!</v>
      </c>
      <c r="H26" s="62" t="s">
        <v>37</v>
      </c>
      <c r="I26" s="62" t="s">
        <v>37</v>
      </c>
      <c r="J26" s="64">
        <v>0</v>
      </c>
      <c r="K26" s="62" t="s">
        <v>37</v>
      </c>
      <c r="L26" s="62" t="s">
        <v>37</v>
      </c>
      <c r="M26" s="62" t="s">
        <v>37</v>
      </c>
      <c r="N26" s="62" t="s">
        <v>37</v>
      </c>
      <c r="O26" s="62" t="s">
        <v>37</v>
      </c>
      <c r="P26" s="64">
        <v>400000</v>
      </c>
      <c r="Q26" s="64">
        <v>400000</v>
      </c>
      <c r="R26" s="62" t="s">
        <v>37</v>
      </c>
      <c r="S26" s="26">
        <f t="shared" si="5"/>
        <v>800000</v>
      </c>
    </row>
    <row r="27" spans="1:19" s="42" customFormat="1" ht="36">
      <c r="A27" s="27" t="s">
        <v>81</v>
      </c>
      <c r="B27" s="58" t="s">
        <v>82</v>
      </c>
      <c r="C27" s="44" t="s">
        <v>83</v>
      </c>
      <c r="D27" s="59">
        <v>2016</v>
      </c>
      <c r="E27" s="59">
        <v>2020</v>
      </c>
      <c r="F27" s="60">
        <v>1000000</v>
      </c>
      <c r="G27" s="63"/>
      <c r="H27" s="62"/>
      <c r="I27" s="62">
        <v>0</v>
      </c>
      <c r="J27" s="64" t="s">
        <v>196</v>
      </c>
      <c r="K27" s="64">
        <v>200000</v>
      </c>
      <c r="L27" s="64">
        <v>200000</v>
      </c>
      <c r="M27" s="64">
        <v>200000</v>
      </c>
      <c r="N27" s="64">
        <v>200000</v>
      </c>
      <c r="O27" s="64">
        <v>200000</v>
      </c>
      <c r="P27" s="62">
        <v>0</v>
      </c>
      <c r="Q27" s="62">
        <v>0</v>
      </c>
      <c r="R27" s="62">
        <v>0</v>
      </c>
      <c r="S27" s="26">
        <f t="shared" si="5"/>
        <v>1000000</v>
      </c>
    </row>
    <row r="28" spans="1:19" s="42" customFormat="1" ht="37.5" customHeight="1">
      <c r="A28" s="27" t="s">
        <v>84</v>
      </c>
      <c r="B28" s="58" t="s">
        <v>85</v>
      </c>
      <c r="C28" s="44" t="s">
        <v>86</v>
      </c>
      <c r="D28" s="59">
        <v>2022</v>
      </c>
      <c r="E28" s="59">
        <v>2023</v>
      </c>
      <c r="F28" s="60">
        <v>200000</v>
      </c>
      <c r="G28" s="63"/>
      <c r="H28" s="62">
        <v>0</v>
      </c>
      <c r="I28" s="62">
        <v>0</v>
      </c>
      <c r="J28" s="64">
        <v>0</v>
      </c>
      <c r="K28" s="64">
        <v>0</v>
      </c>
      <c r="L28" s="64">
        <v>0</v>
      </c>
      <c r="M28" s="62">
        <v>0</v>
      </c>
      <c r="N28" s="62">
        <v>0</v>
      </c>
      <c r="O28" s="62">
        <v>0</v>
      </c>
      <c r="P28" s="62">
        <v>0</v>
      </c>
      <c r="Q28" s="64">
        <v>50000</v>
      </c>
      <c r="R28" s="64">
        <v>150000</v>
      </c>
      <c r="S28" s="26">
        <f t="shared" si="5"/>
        <v>200000</v>
      </c>
    </row>
    <row r="29" spans="1:19" s="42" customFormat="1" ht="39" customHeight="1">
      <c r="A29" s="27" t="s">
        <v>87</v>
      </c>
      <c r="B29" s="58" t="s">
        <v>88</v>
      </c>
      <c r="C29" s="44" t="s">
        <v>89</v>
      </c>
      <c r="D29" s="59">
        <v>2022</v>
      </c>
      <c r="E29" s="59">
        <v>2023</v>
      </c>
      <c r="F29" s="60">
        <v>1500000</v>
      </c>
      <c r="G29" s="63"/>
      <c r="H29" s="62">
        <v>0</v>
      </c>
      <c r="I29" s="62">
        <v>0</v>
      </c>
      <c r="J29" s="64">
        <v>0</v>
      </c>
      <c r="K29" s="64">
        <v>0</v>
      </c>
      <c r="L29" s="64">
        <v>0</v>
      </c>
      <c r="M29" s="62">
        <v>0</v>
      </c>
      <c r="N29" s="62">
        <v>0</v>
      </c>
      <c r="O29" s="62">
        <v>0</v>
      </c>
      <c r="P29" s="62">
        <v>0</v>
      </c>
      <c r="Q29" s="64">
        <v>1000000</v>
      </c>
      <c r="R29" s="64">
        <v>500000</v>
      </c>
      <c r="S29" s="170">
        <f t="shared" si="5"/>
        <v>1500000</v>
      </c>
    </row>
    <row r="30" spans="1:19" s="42" customFormat="1" ht="36" customHeight="1">
      <c r="A30" s="27" t="s">
        <v>90</v>
      </c>
      <c r="B30" s="67" t="s">
        <v>91</v>
      </c>
      <c r="C30" s="44" t="s">
        <v>92</v>
      </c>
      <c r="D30" s="59">
        <v>2019</v>
      </c>
      <c r="E30" s="59">
        <v>2021</v>
      </c>
      <c r="F30" s="60">
        <v>2500000</v>
      </c>
      <c r="G30" s="63" t="e">
        <f>SUM(#REF!)</f>
        <v>#REF!</v>
      </c>
      <c r="H30" s="62" t="s">
        <v>37</v>
      </c>
      <c r="I30" s="62" t="s">
        <v>37</v>
      </c>
      <c r="J30" s="62" t="s">
        <v>37</v>
      </c>
      <c r="K30" s="62" t="s">
        <v>37</v>
      </c>
      <c r="L30" s="62" t="s">
        <v>37</v>
      </c>
      <c r="M30" s="62" t="s">
        <v>37</v>
      </c>
      <c r="N30" s="64">
        <v>426800</v>
      </c>
      <c r="O30" s="64">
        <v>1000000</v>
      </c>
      <c r="P30" s="64">
        <v>1000000</v>
      </c>
      <c r="Q30" s="62" t="s">
        <v>37</v>
      </c>
      <c r="R30" s="62" t="s">
        <v>37</v>
      </c>
      <c r="S30" s="26">
        <f t="shared" si="5"/>
        <v>2426800</v>
      </c>
    </row>
    <row r="31" spans="1:19" s="42" customFormat="1" ht="36">
      <c r="A31" s="27" t="s">
        <v>93</v>
      </c>
      <c r="B31" s="68" t="s">
        <v>94</v>
      </c>
      <c r="C31" s="69" t="s">
        <v>95</v>
      </c>
      <c r="D31" s="45">
        <v>2018</v>
      </c>
      <c r="E31" s="45">
        <v>2019</v>
      </c>
      <c r="F31" s="46">
        <v>625000</v>
      </c>
      <c r="G31" s="32" t="e">
        <f>SUM(#REF!)</f>
        <v>#REF!</v>
      </c>
      <c r="H31" s="31" t="s">
        <v>37</v>
      </c>
      <c r="I31" s="31" t="s">
        <v>37</v>
      </c>
      <c r="J31" s="31" t="s">
        <v>37</v>
      </c>
      <c r="K31" s="31" t="s">
        <v>37</v>
      </c>
      <c r="L31" s="31" t="s">
        <v>37</v>
      </c>
      <c r="M31" s="33">
        <v>75000</v>
      </c>
      <c r="N31" s="33">
        <v>550000</v>
      </c>
      <c r="O31" s="62" t="s">
        <v>37</v>
      </c>
      <c r="P31" s="62" t="s">
        <v>37</v>
      </c>
      <c r="Q31" s="62" t="s">
        <v>37</v>
      </c>
      <c r="R31" s="62" t="s">
        <v>37</v>
      </c>
      <c r="S31" s="26">
        <f t="shared" si="5"/>
        <v>625000</v>
      </c>
    </row>
    <row r="32" spans="1:19" s="34" customFormat="1" ht="36">
      <c r="A32" s="27" t="s">
        <v>96</v>
      </c>
      <c r="B32" s="67" t="s">
        <v>97</v>
      </c>
      <c r="C32" s="44" t="s">
        <v>98</v>
      </c>
      <c r="D32" s="59">
        <v>2015</v>
      </c>
      <c r="E32" s="59">
        <v>2016</v>
      </c>
      <c r="F32" s="60">
        <v>300000</v>
      </c>
      <c r="G32" s="63" t="e">
        <f>SUM(#REF!)</f>
        <v>#REF!</v>
      </c>
      <c r="H32" s="62" t="s">
        <v>37</v>
      </c>
      <c r="I32" s="62" t="s">
        <v>37</v>
      </c>
      <c r="J32" s="64">
        <v>50000</v>
      </c>
      <c r="K32" s="64">
        <v>227430</v>
      </c>
      <c r="L32" s="62" t="s">
        <v>37</v>
      </c>
      <c r="M32" s="62" t="s">
        <v>37</v>
      </c>
      <c r="N32" s="62" t="s">
        <v>37</v>
      </c>
      <c r="O32" s="62" t="s">
        <v>37</v>
      </c>
      <c r="P32" s="62" t="s">
        <v>37</v>
      </c>
      <c r="Q32" s="62" t="s">
        <v>37</v>
      </c>
      <c r="R32" s="62" t="s">
        <v>37</v>
      </c>
      <c r="S32" s="26">
        <f t="shared" si="5"/>
        <v>277430</v>
      </c>
    </row>
    <row r="33" spans="1:19" s="34" customFormat="1" ht="36">
      <c r="A33" s="27" t="s">
        <v>99</v>
      </c>
      <c r="B33" s="58" t="s">
        <v>100</v>
      </c>
      <c r="C33" s="44" t="s">
        <v>101</v>
      </c>
      <c r="D33" s="59">
        <v>2013</v>
      </c>
      <c r="E33" s="59">
        <v>2014</v>
      </c>
      <c r="F33" s="60">
        <v>128027</v>
      </c>
      <c r="G33" s="63"/>
      <c r="H33" s="62">
        <v>0</v>
      </c>
      <c r="I33" s="64">
        <v>128027</v>
      </c>
      <c r="J33" s="64">
        <v>0</v>
      </c>
      <c r="K33" s="64">
        <v>0</v>
      </c>
      <c r="L33" s="62">
        <v>0</v>
      </c>
      <c r="M33" s="62">
        <v>0</v>
      </c>
      <c r="N33" s="62">
        <v>0</v>
      </c>
      <c r="O33" s="62" t="s">
        <v>37</v>
      </c>
      <c r="P33" s="62" t="s">
        <v>37</v>
      </c>
      <c r="Q33" s="62" t="s">
        <v>37</v>
      </c>
      <c r="R33" s="62" t="s">
        <v>37</v>
      </c>
      <c r="S33" s="26">
        <f t="shared" si="5"/>
        <v>128027</v>
      </c>
    </row>
    <row r="34" spans="1:19" s="42" customFormat="1" ht="36.75" customHeight="1">
      <c r="A34" s="27" t="s">
        <v>102</v>
      </c>
      <c r="B34" s="67" t="s">
        <v>103</v>
      </c>
      <c r="C34" s="44" t="s">
        <v>104</v>
      </c>
      <c r="D34" s="59">
        <v>2021</v>
      </c>
      <c r="E34" s="59">
        <v>2022</v>
      </c>
      <c r="F34" s="60">
        <v>1500000</v>
      </c>
      <c r="G34" s="63" t="e">
        <f>SUM(#REF!)</f>
        <v>#REF!</v>
      </c>
      <c r="H34" s="62" t="s">
        <v>37</v>
      </c>
      <c r="I34" s="62" t="s">
        <v>37</v>
      </c>
      <c r="J34" s="62" t="s">
        <v>37</v>
      </c>
      <c r="K34" s="64">
        <v>0</v>
      </c>
      <c r="L34" s="64">
        <v>0</v>
      </c>
      <c r="M34" s="64">
        <v>0</v>
      </c>
      <c r="N34" s="62">
        <v>0</v>
      </c>
      <c r="O34" s="62" t="s">
        <v>37</v>
      </c>
      <c r="P34" s="64">
        <v>500000</v>
      </c>
      <c r="Q34" s="64">
        <v>1000000</v>
      </c>
      <c r="R34" s="62" t="s">
        <v>37</v>
      </c>
      <c r="S34" s="26">
        <f t="shared" si="5"/>
        <v>1500000</v>
      </c>
    </row>
    <row r="35" spans="1:19" s="42" customFormat="1" ht="36.75" customHeight="1">
      <c r="A35" s="27" t="s">
        <v>105</v>
      </c>
      <c r="B35" s="67" t="s">
        <v>106</v>
      </c>
      <c r="C35" s="44" t="s">
        <v>107</v>
      </c>
      <c r="D35" s="59">
        <v>2022</v>
      </c>
      <c r="E35" s="59">
        <v>2023</v>
      </c>
      <c r="F35" s="60">
        <v>1200000</v>
      </c>
      <c r="G35" s="63" t="e">
        <f>SUM(#REF!)</f>
        <v>#REF!</v>
      </c>
      <c r="H35" s="62" t="s">
        <v>37</v>
      </c>
      <c r="I35" s="62" t="s">
        <v>37</v>
      </c>
      <c r="J35" s="62" t="s">
        <v>37</v>
      </c>
      <c r="K35" s="64">
        <v>0</v>
      </c>
      <c r="L35" s="64">
        <v>0</v>
      </c>
      <c r="M35" s="62" t="s">
        <v>37</v>
      </c>
      <c r="N35" s="62" t="s">
        <v>37</v>
      </c>
      <c r="O35" s="62" t="s">
        <v>37</v>
      </c>
      <c r="P35" s="62" t="s">
        <v>37</v>
      </c>
      <c r="Q35" s="64">
        <v>200000</v>
      </c>
      <c r="R35" s="64">
        <v>1000000</v>
      </c>
      <c r="S35" s="26">
        <f t="shared" si="5"/>
        <v>1200000</v>
      </c>
    </row>
    <row r="36" spans="1:19" s="42" customFormat="1" ht="36.75" customHeight="1">
      <c r="A36" s="70" t="s">
        <v>108</v>
      </c>
      <c r="B36" s="66" t="s">
        <v>109</v>
      </c>
      <c r="C36" s="51" t="s">
        <v>110</v>
      </c>
      <c r="D36" s="71">
        <v>2014</v>
      </c>
      <c r="E36" s="71">
        <v>2019</v>
      </c>
      <c r="F36" s="72">
        <v>300000</v>
      </c>
      <c r="G36" s="73"/>
      <c r="H36" s="56" t="s">
        <v>37</v>
      </c>
      <c r="I36" s="74">
        <v>40000</v>
      </c>
      <c r="J36" s="74">
        <v>50000</v>
      </c>
      <c r="K36" s="74">
        <v>50000</v>
      </c>
      <c r="L36" s="74">
        <v>50000</v>
      </c>
      <c r="M36" s="74">
        <v>50000</v>
      </c>
      <c r="N36" s="74">
        <v>60000</v>
      </c>
      <c r="O36" s="56">
        <v>0</v>
      </c>
      <c r="P36" s="56">
        <v>0</v>
      </c>
      <c r="Q36" s="76">
        <v>0</v>
      </c>
      <c r="R36" s="56">
        <v>0</v>
      </c>
      <c r="S36" s="26">
        <f t="shared" si="5"/>
        <v>300000</v>
      </c>
    </row>
    <row r="37" spans="1:19" s="42" customFormat="1" ht="36">
      <c r="A37" s="27" t="s">
        <v>111</v>
      </c>
      <c r="B37" s="58" t="s">
        <v>112</v>
      </c>
      <c r="C37" s="44" t="s">
        <v>113</v>
      </c>
      <c r="D37" s="59">
        <v>2021</v>
      </c>
      <c r="E37" s="59">
        <v>2023</v>
      </c>
      <c r="F37" s="60">
        <v>3000000</v>
      </c>
      <c r="G37" s="63"/>
      <c r="H37" s="62" t="s">
        <v>37</v>
      </c>
      <c r="I37" s="62" t="s">
        <v>37</v>
      </c>
      <c r="J37" s="62" t="s">
        <v>37</v>
      </c>
      <c r="K37" s="62" t="s">
        <v>37</v>
      </c>
      <c r="L37" s="62" t="s">
        <v>37</v>
      </c>
      <c r="M37" s="62" t="s">
        <v>37</v>
      </c>
      <c r="N37" s="62" t="s">
        <v>37</v>
      </c>
      <c r="O37" s="64">
        <v>0</v>
      </c>
      <c r="P37" s="64">
        <v>500000</v>
      </c>
      <c r="Q37" s="64">
        <v>1000000</v>
      </c>
      <c r="R37" s="64">
        <v>1500000</v>
      </c>
      <c r="S37" s="170">
        <f t="shared" si="5"/>
        <v>3000000</v>
      </c>
    </row>
    <row r="38" spans="1:19" s="42" customFormat="1" ht="48.75" thickBot="1">
      <c r="A38" s="143" t="s">
        <v>114</v>
      </c>
      <c r="B38" s="77" t="s">
        <v>115</v>
      </c>
      <c r="C38" s="78" t="s">
        <v>116</v>
      </c>
      <c r="D38" s="79">
        <v>2021</v>
      </c>
      <c r="E38" s="80">
        <v>2022</v>
      </c>
      <c r="F38" s="81">
        <v>100000</v>
      </c>
      <c r="G38" s="82"/>
      <c r="H38" s="83"/>
      <c r="I38" s="56" t="s">
        <v>37</v>
      </c>
      <c r="J38" s="56" t="s">
        <v>37</v>
      </c>
      <c r="K38" s="56" t="s">
        <v>37</v>
      </c>
      <c r="L38" s="84"/>
      <c r="M38" s="84"/>
      <c r="N38" s="56" t="s">
        <v>37</v>
      </c>
      <c r="O38" s="56" t="s">
        <v>37</v>
      </c>
      <c r="P38" s="84">
        <v>50000</v>
      </c>
      <c r="Q38" s="84">
        <v>50000</v>
      </c>
      <c r="R38" s="56" t="s">
        <v>37</v>
      </c>
      <c r="S38" s="26">
        <f t="shared" si="5"/>
        <v>100000</v>
      </c>
    </row>
    <row r="39" spans="1:19" s="85" customFormat="1" ht="33" customHeight="1" thickBot="1">
      <c r="A39" s="145" t="s">
        <v>4</v>
      </c>
      <c r="B39" s="491" t="s">
        <v>117</v>
      </c>
      <c r="C39" s="491"/>
      <c r="D39" s="491"/>
      <c r="E39" s="491"/>
      <c r="F39" s="146">
        <f t="shared" ref="F39:Q39" si="8">SUM(F40:F41)</f>
        <v>0</v>
      </c>
      <c r="G39" s="151">
        <f t="shared" si="8"/>
        <v>0</v>
      </c>
      <c r="H39" s="151">
        <f t="shared" si="8"/>
        <v>0</v>
      </c>
      <c r="I39" s="151">
        <f t="shared" si="8"/>
        <v>0</v>
      </c>
      <c r="J39" s="151">
        <f t="shared" si="8"/>
        <v>0</v>
      </c>
      <c r="K39" s="151">
        <f t="shared" si="8"/>
        <v>0</v>
      </c>
      <c r="L39" s="151">
        <f t="shared" si="8"/>
        <v>0</v>
      </c>
      <c r="M39" s="151">
        <f t="shared" si="8"/>
        <v>0</v>
      </c>
      <c r="N39" s="151">
        <f t="shared" si="8"/>
        <v>0</v>
      </c>
      <c r="O39" s="151">
        <f t="shared" si="8"/>
        <v>0</v>
      </c>
      <c r="P39" s="151">
        <f t="shared" si="8"/>
        <v>0</v>
      </c>
      <c r="Q39" s="151">
        <f t="shared" si="8"/>
        <v>0</v>
      </c>
      <c r="R39" s="151"/>
      <c r="S39" s="152">
        <v>0</v>
      </c>
    </row>
    <row r="40" spans="1:19" s="85" customFormat="1">
      <c r="A40" s="153" t="s">
        <v>5</v>
      </c>
      <c r="B40" s="504" t="s">
        <v>30</v>
      </c>
      <c r="C40" s="504"/>
      <c r="D40" s="504"/>
      <c r="E40" s="504"/>
      <c r="F40" s="95">
        <v>0</v>
      </c>
      <c r="G40" s="95">
        <v>0</v>
      </c>
      <c r="H40" s="95">
        <v>0</v>
      </c>
      <c r="I40" s="95">
        <v>0</v>
      </c>
      <c r="J40" s="95">
        <v>0</v>
      </c>
      <c r="K40" s="95">
        <v>0</v>
      </c>
      <c r="L40" s="95">
        <v>0</v>
      </c>
      <c r="M40" s="95">
        <v>0</v>
      </c>
      <c r="N40" s="95">
        <v>0</v>
      </c>
      <c r="O40" s="95">
        <v>0</v>
      </c>
      <c r="P40" s="95">
        <v>0</v>
      </c>
      <c r="Q40" s="95">
        <v>0</v>
      </c>
      <c r="R40" s="95">
        <v>0</v>
      </c>
      <c r="S40" s="158">
        <v>0</v>
      </c>
    </row>
    <row r="41" spans="1:19" s="85" customFormat="1" ht="15" thickBot="1">
      <c r="A41" s="148" t="s">
        <v>6</v>
      </c>
      <c r="B41" s="505" t="s">
        <v>32</v>
      </c>
      <c r="C41" s="506"/>
      <c r="D41" s="506"/>
      <c r="E41" s="507"/>
      <c r="F41" s="154">
        <v>0</v>
      </c>
      <c r="G41" s="154">
        <v>0</v>
      </c>
      <c r="H41" s="154">
        <v>0</v>
      </c>
      <c r="I41" s="154">
        <v>0</v>
      </c>
      <c r="J41" s="154">
        <v>0</v>
      </c>
      <c r="K41" s="154">
        <v>0</v>
      </c>
      <c r="L41" s="154">
        <v>0</v>
      </c>
      <c r="M41" s="154">
        <v>0</v>
      </c>
      <c r="N41" s="154">
        <v>0</v>
      </c>
      <c r="O41" s="154">
        <v>0</v>
      </c>
      <c r="P41" s="154">
        <v>0</v>
      </c>
      <c r="Q41" s="154">
        <v>0</v>
      </c>
      <c r="R41" s="154">
        <v>0</v>
      </c>
      <c r="S41" s="155">
        <v>0</v>
      </c>
    </row>
    <row r="42" spans="1:19" s="85" customFormat="1" ht="15" hidden="1" thickBot="1">
      <c r="A42" s="495"/>
      <c r="B42" s="156" t="s">
        <v>118</v>
      </c>
      <c r="C42" s="498"/>
      <c r="D42" s="501"/>
      <c r="E42" s="501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95"/>
      <c r="R42" s="95"/>
      <c r="S42" s="492"/>
    </row>
    <row r="43" spans="1:19" s="85" customFormat="1" ht="15" hidden="1" thickBot="1">
      <c r="A43" s="495"/>
      <c r="B43" s="159" t="s">
        <v>30</v>
      </c>
      <c r="C43" s="498"/>
      <c r="D43" s="501"/>
      <c r="E43" s="501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492"/>
    </row>
    <row r="44" spans="1:19" s="85" customFormat="1" ht="15" hidden="1" thickBot="1">
      <c r="A44" s="496"/>
      <c r="B44" s="159" t="s">
        <v>32</v>
      </c>
      <c r="C44" s="499"/>
      <c r="D44" s="502"/>
      <c r="E44" s="502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1"/>
      <c r="R44" s="161"/>
      <c r="S44" s="493"/>
    </row>
    <row r="45" spans="1:19" s="85" customFormat="1" ht="15" hidden="1" thickBot="1">
      <c r="A45" s="494"/>
      <c r="B45" s="162" t="s">
        <v>118</v>
      </c>
      <c r="C45" s="497"/>
      <c r="D45" s="500"/>
      <c r="E45" s="500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55"/>
      <c r="R45" s="55"/>
      <c r="S45" s="503"/>
    </row>
    <row r="46" spans="1:19" s="85" customFormat="1" ht="15" hidden="1" thickBot="1">
      <c r="A46" s="495"/>
      <c r="B46" s="159" t="s">
        <v>30</v>
      </c>
      <c r="C46" s="498"/>
      <c r="D46" s="501"/>
      <c r="E46" s="501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492"/>
    </row>
    <row r="47" spans="1:19" s="85" customFormat="1" ht="15" hidden="1" thickBot="1">
      <c r="A47" s="496"/>
      <c r="B47" s="159" t="s">
        <v>32</v>
      </c>
      <c r="C47" s="499"/>
      <c r="D47" s="502"/>
      <c r="E47" s="502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493"/>
    </row>
    <row r="48" spans="1:19" s="85" customFormat="1" ht="15" hidden="1" thickBot="1">
      <c r="A48" s="494"/>
      <c r="B48" s="162" t="s">
        <v>119</v>
      </c>
      <c r="C48" s="497"/>
      <c r="D48" s="500"/>
      <c r="E48" s="500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55"/>
      <c r="R48" s="55"/>
      <c r="S48" s="503"/>
    </row>
    <row r="49" spans="1:20" s="85" customFormat="1" ht="15" hidden="1" thickBot="1">
      <c r="A49" s="495"/>
      <c r="B49" s="159"/>
      <c r="C49" s="498"/>
      <c r="D49" s="501"/>
      <c r="E49" s="501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492"/>
    </row>
    <row r="50" spans="1:20" s="85" customFormat="1" ht="15" hidden="1" thickBot="1">
      <c r="A50" s="495"/>
      <c r="B50" s="164"/>
      <c r="C50" s="498"/>
      <c r="D50" s="501"/>
      <c r="E50" s="501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95"/>
      <c r="R50" s="95"/>
      <c r="S50" s="492"/>
    </row>
    <row r="51" spans="1:20" s="86" customFormat="1" ht="28.5" customHeight="1" thickBot="1">
      <c r="A51" s="145" t="s">
        <v>120</v>
      </c>
      <c r="B51" s="491" t="s">
        <v>121</v>
      </c>
      <c r="C51" s="491"/>
      <c r="D51" s="491"/>
      <c r="E51" s="491"/>
      <c r="F51" s="146">
        <f>F52+F63</f>
        <v>17966223</v>
      </c>
      <c r="G51" s="146">
        <f t="shared" ref="G51:S51" si="9">G52+G63</f>
        <v>0</v>
      </c>
      <c r="H51" s="146">
        <f t="shared" si="9"/>
        <v>1349733</v>
      </c>
      <c r="I51" s="146">
        <f t="shared" si="9"/>
        <v>1179144</v>
      </c>
      <c r="J51" s="146">
        <f t="shared" si="9"/>
        <v>1879544</v>
      </c>
      <c r="K51" s="146">
        <f t="shared" si="9"/>
        <v>1819187</v>
      </c>
      <c r="L51" s="146">
        <f t="shared" si="9"/>
        <v>1789481</v>
      </c>
      <c r="M51" s="146">
        <f t="shared" si="9"/>
        <v>1209000</v>
      </c>
      <c r="N51" s="146">
        <f t="shared" si="9"/>
        <v>1261000</v>
      </c>
      <c r="O51" s="146">
        <f t="shared" si="9"/>
        <v>1350500</v>
      </c>
      <c r="P51" s="146">
        <f t="shared" si="9"/>
        <v>1477000</v>
      </c>
      <c r="Q51" s="146">
        <f t="shared" si="9"/>
        <v>977000</v>
      </c>
      <c r="R51" s="146">
        <f t="shared" si="9"/>
        <v>977000</v>
      </c>
      <c r="S51" s="147">
        <f t="shared" si="9"/>
        <v>13918856</v>
      </c>
    </row>
    <row r="52" spans="1:20" s="88" customFormat="1" ht="15" thickBot="1">
      <c r="A52" s="166" t="s">
        <v>122</v>
      </c>
      <c r="B52" s="483" t="s">
        <v>30</v>
      </c>
      <c r="C52" s="483"/>
      <c r="D52" s="483"/>
      <c r="E52" s="483"/>
      <c r="F52" s="167">
        <f t="shared" ref="F52:H52" si="10">SUM(F53:F62)</f>
        <v>625000</v>
      </c>
      <c r="G52" s="167">
        <f t="shared" si="10"/>
        <v>0</v>
      </c>
      <c r="H52" s="167">
        <f t="shared" si="10"/>
        <v>0</v>
      </c>
      <c r="I52" s="167">
        <f>SUM(I53:I62)</f>
        <v>5000</v>
      </c>
      <c r="J52" s="167">
        <f t="shared" ref="J52:S52" si="11">SUM(J53:J62)</f>
        <v>70000</v>
      </c>
      <c r="K52" s="167">
        <f t="shared" si="11"/>
        <v>139000</v>
      </c>
      <c r="L52" s="167">
        <f t="shared" si="11"/>
        <v>139000</v>
      </c>
      <c r="M52" s="167">
        <f t="shared" si="11"/>
        <v>139000</v>
      </c>
      <c r="N52" s="167">
        <f t="shared" si="11"/>
        <v>41000</v>
      </c>
      <c r="O52" s="167">
        <f t="shared" si="11"/>
        <v>41000</v>
      </c>
      <c r="P52" s="167">
        <f t="shared" si="11"/>
        <v>17000</v>
      </c>
      <c r="Q52" s="167">
        <f t="shared" si="11"/>
        <v>17000</v>
      </c>
      <c r="R52" s="179">
        <f t="shared" si="11"/>
        <v>17000</v>
      </c>
      <c r="S52" s="169">
        <f t="shared" si="11"/>
        <v>625000</v>
      </c>
      <c r="T52" s="87"/>
    </row>
    <row r="53" spans="1:20" s="85" customFormat="1" ht="120">
      <c r="A53" s="181" t="s">
        <v>123</v>
      </c>
      <c r="B53" s="176" t="s">
        <v>124</v>
      </c>
      <c r="C53" s="120" t="s">
        <v>125</v>
      </c>
      <c r="D53" s="177">
        <v>2015</v>
      </c>
      <c r="E53" s="177">
        <v>2023</v>
      </c>
      <c r="F53" s="178">
        <v>100000</v>
      </c>
      <c r="G53" s="161"/>
      <c r="H53" s="161"/>
      <c r="I53" s="184" t="s">
        <v>196</v>
      </c>
      <c r="J53" s="161">
        <v>10000</v>
      </c>
      <c r="K53" s="161">
        <v>10000</v>
      </c>
      <c r="L53" s="161">
        <v>10000</v>
      </c>
      <c r="M53" s="161">
        <v>10000</v>
      </c>
      <c r="N53" s="161">
        <v>12000</v>
      </c>
      <c r="O53" s="161">
        <v>12000</v>
      </c>
      <c r="P53" s="161">
        <v>12000</v>
      </c>
      <c r="Q53" s="161">
        <v>12000</v>
      </c>
      <c r="R53" s="161">
        <v>12000</v>
      </c>
      <c r="S53" s="182">
        <f t="shared" ref="S53:S62" si="12">SUM(I53:R53)</f>
        <v>100000</v>
      </c>
    </row>
    <row r="54" spans="1:20" s="85" customFormat="1" ht="72">
      <c r="A54" s="171" t="s">
        <v>126</v>
      </c>
      <c r="B54" s="89" t="s">
        <v>127</v>
      </c>
      <c r="C54" s="44" t="s">
        <v>128</v>
      </c>
      <c r="D54" s="90">
        <v>2015</v>
      </c>
      <c r="E54" s="90">
        <v>2018</v>
      </c>
      <c r="F54" s="91">
        <v>200000</v>
      </c>
      <c r="G54" s="92"/>
      <c r="H54" s="92"/>
      <c r="I54" s="184" t="s">
        <v>196</v>
      </c>
      <c r="J54" s="92">
        <v>25000</v>
      </c>
      <c r="K54" s="74">
        <v>25000</v>
      </c>
      <c r="L54" s="92">
        <v>50000</v>
      </c>
      <c r="M54" s="92">
        <v>100000</v>
      </c>
      <c r="N54" s="56" t="s">
        <v>37</v>
      </c>
      <c r="O54" s="56" t="s">
        <v>37</v>
      </c>
      <c r="P54" s="56" t="s">
        <v>37</v>
      </c>
      <c r="Q54" s="56" t="s">
        <v>37</v>
      </c>
      <c r="R54" s="56" t="s">
        <v>37</v>
      </c>
      <c r="S54" s="26">
        <f t="shared" si="12"/>
        <v>200000</v>
      </c>
    </row>
    <row r="55" spans="1:20" s="85" customFormat="1" ht="48">
      <c r="A55" s="171" t="s">
        <v>129</v>
      </c>
      <c r="B55" s="93" t="s">
        <v>130</v>
      </c>
      <c r="C55" s="51" t="s">
        <v>131</v>
      </c>
      <c r="D55" s="94">
        <v>2014</v>
      </c>
      <c r="E55" s="94">
        <v>2023</v>
      </c>
      <c r="F55" s="54">
        <v>50000</v>
      </c>
      <c r="G55" s="55"/>
      <c r="H55" s="55"/>
      <c r="I55" s="55">
        <v>5000</v>
      </c>
      <c r="J55" s="55">
        <v>5000</v>
      </c>
      <c r="K55" s="55">
        <v>5000</v>
      </c>
      <c r="L55" s="55">
        <v>5000</v>
      </c>
      <c r="M55" s="55">
        <v>5000</v>
      </c>
      <c r="N55" s="55">
        <v>5000</v>
      </c>
      <c r="O55" s="55">
        <v>5000</v>
      </c>
      <c r="P55" s="55">
        <v>5000</v>
      </c>
      <c r="Q55" s="55">
        <v>5000</v>
      </c>
      <c r="R55" s="55">
        <v>5000</v>
      </c>
      <c r="S55" s="26">
        <f t="shared" si="12"/>
        <v>50000</v>
      </c>
    </row>
    <row r="56" spans="1:20" s="85" customFormat="1" ht="36">
      <c r="A56" s="171" t="s">
        <v>132</v>
      </c>
      <c r="B56" s="89" t="s">
        <v>133</v>
      </c>
      <c r="C56" s="44" t="s">
        <v>134</v>
      </c>
      <c r="D56" s="90">
        <v>2015</v>
      </c>
      <c r="E56" s="90">
        <v>2016</v>
      </c>
      <c r="F56" s="91">
        <v>50000</v>
      </c>
      <c r="G56" s="92"/>
      <c r="H56" s="92"/>
      <c r="I56" s="184" t="s">
        <v>196</v>
      </c>
      <c r="J56" s="92">
        <v>20000</v>
      </c>
      <c r="K56" s="92">
        <v>30000</v>
      </c>
      <c r="L56" s="56" t="s">
        <v>37</v>
      </c>
      <c r="M56" s="56" t="s">
        <v>37</v>
      </c>
      <c r="N56" s="56" t="s">
        <v>37</v>
      </c>
      <c r="O56" s="56" t="s">
        <v>37</v>
      </c>
      <c r="P56" s="56" t="s">
        <v>37</v>
      </c>
      <c r="Q56" s="56" t="s">
        <v>37</v>
      </c>
      <c r="R56" s="56" t="s">
        <v>37</v>
      </c>
      <c r="S56" s="26">
        <f t="shared" si="12"/>
        <v>50000</v>
      </c>
    </row>
    <row r="57" spans="1:20" s="85" customFormat="1" ht="36">
      <c r="A57" s="171" t="s">
        <v>135</v>
      </c>
      <c r="B57" s="43" t="s">
        <v>45</v>
      </c>
      <c r="C57" s="44" t="s">
        <v>46</v>
      </c>
      <c r="D57" s="45">
        <v>2015</v>
      </c>
      <c r="E57" s="45">
        <v>2020</v>
      </c>
      <c r="F57" s="46">
        <v>30000</v>
      </c>
      <c r="G57" s="47"/>
      <c r="H57" s="47"/>
      <c r="I57" s="48" t="s">
        <v>37</v>
      </c>
      <c r="J57" s="47">
        <v>5000</v>
      </c>
      <c r="K57" s="47">
        <v>5000</v>
      </c>
      <c r="L57" s="47">
        <v>5000</v>
      </c>
      <c r="M57" s="47">
        <v>5000</v>
      </c>
      <c r="N57" s="47">
        <v>5000</v>
      </c>
      <c r="O57" s="47">
        <v>5000</v>
      </c>
      <c r="P57" s="31" t="s">
        <v>37</v>
      </c>
      <c r="Q57" s="31" t="s">
        <v>37</v>
      </c>
      <c r="R57" s="31" t="s">
        <v>37</v>
      </c>
      <c r="S57" s="26">
        <f t="shared" si="12"/>
        <v>30000</v>
      </c>
    </row>
    <row r="58" spans="1:20" s="85" customFormat="1" ht="96">
      <c r="A58" s="171" t="s">
        <v>138</v>
      </c>
      <c r="B58" s="49" t="s">
        <v>47</v>
      </c>
      <c r="C58" s="44" t="s">
        <v>48</v>
      </c>
      <c r="D58" s="45">
        <v>2016</v>
      </c>
      <c r="E58" s="45">
        <v>2020</v>
      </c>
      <c r="F58" s="46">
        <v>15000</v>
      </c>
      <c r="G58" s="32"/>
      <c r="H58" s="32"/>
      <c r="I58" s="31" t="s">
        <v>37</v>
      </c>
      <c r="J58" s="31" t="s">
        <v>37</v>
      </c>
      <c r="K58" s="33">
        <v>3000</v>
      </c>
      <c r="L58" s="33">
        <v>3000</v>
      </c>
      <c r="M58" s="33">
        <v>3000</v>
      </c>
      <c r="N58" s="33">
        <v>3000</v>
      </c>
      <c r="O58" s="33">
        <v>3000</v>
      </c>
      <c r="P58" s="31" t="s">
        <v>37</v>
      </c>
      <c r="Q58" s="31" t="s">
        <v>37</v>
      </c>
      <c r="R58" s="31" t="s">
        <v>37</v>
      </c>
      <c r="S58" s="26">
        <f t="shared" si="12"/>
        <v>15000</v>
      </c>
    </row>
    <row r="59" spans="1:20" s="85" customFormat="1" ht="96">
      <c r="A59" s="171" t="s">
        <v>190</v>
      </c>
      <c r="B59" s="49" t="s">
        <v>49</v>
      </c>
      <c r="C59" s="44" t="s">
        <v>50</v>
      </c>
      <c r="D59" s="45">
        <v>2016</v>
      </c>
      <c r="E59" s="45">
        <v>2020</v>
      </c>
      <c r="F59" s="46">
        <v>15000</v>
      </c>
      <c r="G59" s="32"/>
      <c r="H59" s="32"/>
      <c r="I59" s="31" t="s">
        <v>37</v>
      </c>
      <c r="J59" s="31" t="s">
        <v>37</v>
      </c>
      <c r="K59" s="33">
        <v>3000</v>
      </c>
      <c r="L59" s="33">
        <v>3000</v>
      </c>
      <c r="M59" s="33">
        <v>3000</v>
      </c>
      <c r="N59" s="33">
        <v>3000</v>
      </c>
      <c r="O59" s="33">
        <v>3000</v>
      </c>
      <c r="P59" s="31" t="s">
        <v>37</v>
      </c>
      <c r="Q59" s="31" t="s">
        <v>37</v>
      </c>
      <c r="R59" s="31" t="s">
        <v>37</v>
      </c>
      <c r="S59" s="170">
        <f t="shared" si="12"/>
        <v>15000</v>
      </c>
    </row>
    <row r="60" spans="1:20" s="85" customFormat="1" ht="108">
      <c r="A60" s="180" t="s">
        <v>191</v>
      </c>
      <c r="B60" s="50" t="s">
        <v>51</v>
      </c>
      <c r="C60" s="51" t="s">
        <v>52</v>
      </c>
      <c r="D60" s="37">
        <v>2016</v>
      </c>
      <c r="E60" s="37">
        <v>2020</v>
      </c>
      <c r="F60" s="52">
        <v>15000</v>
      </c>
      <c r="G60" s="47"/>
      <c r="H60" s="47"/>
      <c r="I60" s="48" t="s">
        <v>37</v>
      </c>
      <c r="J60" s="48" t="s">
        <v>37</v>
      </c>
      <c r="K60" s="53">
        <v>3000</v>
      </c>
      <c r="L60" s="53">
        <v>3000</v>
      </c>
      <c r="M60" s="53">
        <v>3000</v>
      </c>
      <c r="N60" s="53">
        <v>3000</v>
      </c>
      <c r="O60" s="53">
        <v>3000</v>
      </c>
      <c r="P60" s="48" t="s">
        <v>37</v>
      </c>
      <c r="Q60" s="48" t="s">
        <v>37</v>
      </c>
      <c r="R60" s="48" t="s">
        <v>37</v>
      </c>
      <c r="S60" s="26">
        <f t="shared" si="12"/>
        <v>15000</v>
      </c>
    </row>
    <row r="61" spans="1:20" s="85" customFormat="1" ht="36">
      <c r="A61" s="171" t="s">
        <v>192</v>
      </c>
      <c r="B61" s="89" t="s">
        <v>136</v>
      </c>
      <c r="C61" s="44" t="s">
        <v>137</v>
      </c>
      <c r="D61" s="90">
        <v>2016</v>
      </c>
      <c r="E61" s="90">
        <v>2017</v>
      </c>
      <c r="F61" s="91">
        <v>100000</v>
      </c>
      <c r="G61" s="92"/>
      <c r="H61" s="92"/>
      <c r="I61" s="62" t="s">
        <v>37</v>
      </c>
      <c r="J61" s="62" t="s">
        <v>37</v>
      </c>
      <c r="K61" s="92">
        <v>50000</v>
      </c>
      <c r="L61" s="64">
        <v>50000</v>
      </c>
      <c r="M61" s="62" t="s">
        <v>37</v>
      </c>
      <c r="N61" s="62" t="s">
        <v>37</v>
      </c>
      <c r="O61" s="62" t="s">
        <v>37</v>
      </c>
      <c r="P61" s="62" t="s">
        <v>37</v>
      </c>
      <c r="Q61" s="62" t="s">
        <v>37</v>
      </c>
      <c r="R61" s="62" t="s">
        <v>37</v>
      </c>
      <c r="S61" s="170">
        <f t="shared" si="12"/>
        <v>100000</v>
      </c>
    </row>
    <row r="62" spans="1:20" s="85" customFormat="1" ht="36.75" thickBot="1">
      <c r="A62" s="181" t="s">
        <v>193</v>
      </c>
      <c r="B62" s="96" t="s">
        <v>139</v>
      </c>
      <c r="C62" s="78" t="s">
        <v>140</v>
      </c>
      <c r="D62" s="97">
        <v>2015</v>
      </c>
      <c r="E62" s="97">
        <v>2019</v>
      </c>
      <c r="F62" s="98">
        <v>50000</v>
      </c>
      <c r="G62" s="95"/>
      <c r="H62" s="95"/>
      <c r="I62" s="76" t="s">
        <v>37</v>
      </c>
      <c r="J62" s="128">
        <v>5000</v>
      </c>
      <c r="K62" s="128">
        <v>5000</v>
      </c>
      <c r="L62" s="128">
        <v>10000</v>
      </c>
      <c r="M62" s="128">
        <v>10000</v>
      </c>
      <c r="N62" s="128">
        <v>10000</v>
      </c>
      <c r="O62" s="128">
        <v>10000</v>
      </c>
      <c r="P62" s="76" t="s">
        <v>37</v>
      </c>
      <c r="Q62" s="76" t="s">
        <v>37</v>
      </c>
      <c r="R62" s="76" t="s">
        <v>37</v>
      </c>
      <c r="S62" s="125">
        <f t="shared" si="12"/>
        <v>50000</v>
      </c>
    </row>
    <row r="63" spans="1:20" s="88" customFormat="1" ht="15" thickBot="1">
      <c r="A63" s="166" t="s">
        <v>141</v>
      </c>
      <c r="B63" s="483" t="s">
        <v>32</v>
      </c>
      <c r="C63" s="483"/>
      <c r="D63" s="483"/>
      <c r="E63" s="483"/>
      <c r="F63" s="167">
        <f t="shared" ref="F63:H63" si="13">SUM(F70:F86)</f>
        <v>17341223</v>
      </c>
      <c r="G63" s="167">
        <f t="shared" si="13"/>
        <v>0</v>
      </c>
      <c r="H63" s="167">
        <f t="shared" si="13"/>
        <v>1349733</v>
      </c>
      <c r="I63" s="167">
        <f>SUM(I70:I86)</f>
        <v>1174144</v>
      </c>
      <c r="J63" s="167">
        <f t="shared" ref="J63:R63" si="14">SUM(J70:J86)</f>
        <v>1809544</v>
      </c>
      <c r="K63" s="167">
        <f t="shared" si="14"/>
        <v>1680187</v>
      </c>
      <c r="L63" s="167">
        <f t="shared" si="14"/>
        <v>1650481</v>
      </c>
      <c r="M63" s="167">
        <f t="shared" si="14"/>
        <v>1070000</v>
      </c>
      <c r="N63" s="167">
        <f t="shared" si="14"/>
        <v>1220000</v>
      </c>
      <c r="O63" s="167">
        <f t="shared" si="14"/>
        <v>1309500</v>
      </c>
      <c r="P63" s="167">
        <f t="shared" si="14"/>
        <v>1460000</v>
      </c>
      <c r="Q63" s="167">
        <f t="shared" si="14"/>
        <v>960000</v>
      </c>
      <c r="R63" s="167">
        <f t="shared" si="14"/>
        <v>960000</v>
      </c>
      <c r="S63" s="168">
        <f>SUM(S70:S86)</f>
        <v>13293856</v>
      </c>
    </row>
    <row r="64" spans="1:20" s="57" customFormat="1" ht="18" hidden="1" customHeight="1">
      <c r="A64" s="476"/>
      <c r="B64" s="99" t="s">
        <v>142</v>
      </c>
      <c r="C64" s="485" t="s">
        <v>43</v>
      </c>
      <c r="D64" s="488">
        <v>2020</v>
      </c>
      <c r="E64" s="488">
        <v>2021</v>
      </c>
      <c r="F64" s="100">
        <f t="shared" ref="F64:P64" si="15">SUM(F65:F66)</f>
        <v>0</v>
      </c>
      <c r="G64" s="101">
        <f t="shared" si="15"/>
        <v>0</v>
      </c>
      <c r="H64" s="101">
        <f t="shared" si="15"/>
        <v>0</v>
      </c>
      <c r="I64" s="101">
        <f t="shared" si="15"/>
        <v>0</v>
      </c>
      <c r="J64" s="101">
        <f t="shared" si="15"/>
        <v>0</v>
      </c>
      <c r="K64" s="101">
        <f t="shared" si="15"/>
        <v>0</v>
      </c>
      <c r="L64" s="101">
        <f t="shared" si="15"/>
        <v>0</v>
      </c>
      <c r="M64" s="101">
        <f t="shared" si="15"/>
        <v>0</v>
      </c>
      <c r="N64" s="101">
        <f t="shared" si="15"/>
        <v>0</v>
      </c>
      <c r="O64" s="101">
        <f t="shared" si="15"/>
        <v>0</v>
      </c>
      <c r="P64" s="101">
        <f t="shared" si="15"/>
        <v>0</v>
      </c>
      <c r="Q64" s="102"/>
      <c r="R64" s="102"/>
      <c r="S64" s="473">
        <f>SUM(F64)</f>
        <v>0</v>
      </c>
    </row>
    <row r="65" spans="1:19" s="15" customFormat="1" ht="15" hidden="1" thickBot="1">
      <c r="A65" s="476"/>
      <c r="B65" s="103" t="s">
        <v>30</v>
      </c>
      <c r="C65" s="486"/>
      <c r="D65" s="489"/>
      <c r="E65" s="489"/>
      <c r="F65" s="104">
        <f>SUM(G65:P65)</f>
        <v>0</v>
      </c>
      <c r="G65" s="104">
        <v>0</v>
      </c>
      <c r="H65" s="104">
        <v>0</v>
      </c>
      <c r="I65" s="104">
        <v>0</v>
      </c>
      <c r="J65" s="104">
        <v>0</v>
      </c>
      <c r="K65" s="104">
        <v>0</v>
      </c>
      <c r="L65" s="104">
        <v>0</v>
      </c>
      <c r="M65" s="104">
        <v>0</v>
      </c>
      <c r="N65" s="104">
        <v>0</v>
      </c>
      <c r="O65" s="104">
        <v>0</v>
      </c>
      <c r="P65" s="104">
        <v>0</v>
      </c>
      <c r="Q65" s="102"/>
      <c r="R65" s="102"/>
      <c r="S65" s="473"/>
    </row>
    <row r="66" spans="1:19" s="15" customFormat="1" ht="15" hidden="1" thickBot="1">
      <c r="A66" s="484"/>
      <c r="B66" s="105" t="s">
        <v>32</v>
      </c>
      <c r="C66" s="487"/>
      <c r="D66" s="490"/>
      <c r="E66" s="490"/>
      <c r="F66" s="106">
        <f>SUM(G66:P66)</f>
        <v>0</v>
      </c>
      <c r="G66" s="106">
        <v>0</v>
      </c>
      <c r="H66" s="106">
        <v>0</v>
      </c>
      <c r="I66" s="106">
        <v>0</v>
      </c>
      <c r="J66" s="106">
        <v>0</v>
      </c>
      <c r="K66" s="106">
        <v>0</v>
      </c>
      <c r="L66" s="106">
        <v>0</v>
      </c>
      <c r="M66" s="106">
        <v>0</v>
      </c>
      <c r="N66" s="106">
        <v>0</v>
      </c>
      <c r="O66" s="106"/>
      <c r="P66" s="106"/>
      <c r="Q66" s="107"/>
      <c r="R66" s="107"/>
      <c r="S66" s="474"/>
    </row>
    <row r="67" spans="1:19" s="15" customFormat="1" ht="27.75" hidden="1" customHeight="1">
      <c r="A67" s="475"/>
      <c r="B67" s="108" t="s">
        <v>143</v>
      </c>
      <c r="C67" s="477" t="s">
        <v>43</v>
      </c>
      <c r="D67" s="479">
        <v>2014</v>
      </c>
      <c r="E67" s="479">
        <v>2014</v>
      </c>
      <c r="F67" s="109">
        <f t="shared" ref="F67:P67" si="16">SUM(F68:F69)</f>
        <v>0</v>
      </c>
      <c r="G67" s="110">
        <f t="shared" si="16"/>
        <v>0</v>
      </c>
      <c r="H67" s="110">
        <f t="shared" si="16"/>
        <v>0</v>
      </c>
      <c r="I67" s="110">
        <f t="shared" si="16"/>
        <v>0</v>
      </c>
      <c r="J67" s="110">
        <f t="shared" si="16"/>
        <v>0</v>
      </c>
      <c r="K67" s="110">
        <f t="shared" si="16"/>
        <v>0</v>
      </c>
      <c r="L67" s="110">
        <f t="shared" si="16"/>
        <v>0</v>
      </c>
      <c r="M67" s="110">
        <f t="shared" si="16"/>
        <v>0</v>
      </c>
      <c r="N67" s="110">
        <f t="shared" si="16"/>
        <v>0</v>
      </c>
      <c r="O67" s="110">
        <f t="shared" si="16"/>
        <v>0</v>
      </c>
      <c r="P67" s="110">
        <f t="shared" si="16"/>
        <v>0</v>
      </c>
      <c r="Q67" s="111"/>
      <c r="R67" s="111"/>
      <c r="S67" s="482">
        <f>SUM(F67)</f>
        <v>0</v>
      </c>
    </row>
    <row r="68" spans="1:19" s="15" customFormat="1" ht="15" hidden="1" thickBot="1">
      <c r="A68" s="476"/>
      <c r="B68" s="103" t="s">
        <v>30</v>
      </c>
      <c r="C68" s="478"/>
      <c r="D68" s="480"/>
      <c r="E68" s="480"/>
      <c r="F68" s="104">
        <f>SUM(G68:P68)</f>
        <v>0</v>
      </c>
      <c r="G68" s="104">
        <v>0</v>
      </c>
      <c r="H68" s="104">
        <v>0</v>
      </c>
      <c r="I68" s="104">
        <v>0</v>
      </c>
      <c r="J68" s="104">
        <v>0</v>
      </c>
      <c r="K68" s="104">
        <v>0</v>
      </c>
      <c r="L68" s="104">
        <v>0</v>
      </c>
      <c r="M68" s="104">
        <v>0</v>
      </c>
      <c r="N68" s="104">
        <v>0</v>
      </c>
      <c r="O68" s="104">
        <v>0</v>
      </c>
      <c r="P68" s="104">
        <v>0</v>
      </c>
      <c r="Q68" s="102"/>
      <c r="R68" s="102"/>
      <c r="S68" s="473"/>
    </row>
    <row r="69" spans="1:19" s="15" customFormat="1" ht="15" hidden="1" thickBot="1">
      <c r="A69" s="476"/>
      <c r="B69" s="105" t="s">
        <v>32</v>
      </c>
      <c r="C69" s="478"/>
      <c r="D69" s="481"/>
      <c r="E69" s="481"/>
      <c r="F69" s="106">
        <f>SUM(G69:P69)</f>
        <v>0</v>
      </c>
      <c r="G69" s="106">
        <v>0</v>
      </c>
      <c r="H69" s="106">
        <v>0</v>
      </c>
      <c r="I69" s="106"/>
      <c r="J69" s="106">
        <v>0</v>
      </c>
      <c r="K69" s="106">
        <v>0</v>
      </c>
      <c r="L69" s="106">
        <v>0</v>
      </c>
      <c r="M69" s="106">
        <v>0</v>
      </c>
      <c r="N69" s="106">
        <v>0</v>
      </c>
      <c r="O69" s="106">
        <v>0</v>
      </c>
      <c r="P69" s="106">
        <v>0</v>
      </c>
      <c r="Q69" s="107"/>
      <c r="R69" s="107"/>
      <c r="S69" s="474"/>
    </row>
    <row r="70" spans="1:19" s="42" customFormat="1" ht="36.75" customHeight="1">
      <c r="A70" s="112" t="s">
        <v>144</v>
      </c>
      <c r="B70" s="113" t="s">
        <v>145</v>
      </c>
      <c r="C70" s="51" t="s">
        <v>146</v>
      </c>
      <c r="D70" s="114">
        <v>2014</v>
      </c>
      <c r="E70" s="114">
        <v>2015</v>
      </c>
      <c r="F70" s="115">
        <v>300000</v>
      </c>
      <c r="G70" s="116"/>
      <c r="H70" s="117">
        <v>300000</v>
      </c>
      <c r="I70" s="117" t="s">
        <v>37</v>
      </c>
      <c r="J70" s="74">
        <v>300000</v>
      </c>
      <c r="K70" s="74" t="s">
        <v>37</v>
      </c>
      <c r="L70" s="74" t="s">
        <v>37</v>
      </c>
      <c r="M70" s="74" t="s">
        <v>37</v>
      </c>
      <c r="N70" s="74" t="s">
        <v>37</v>
      </c>
      <c r="O70" s="74" t="s">
        <v>37</v>
      </c>
      <c r="P70" s="74" t="s">
        <v>37</v>
      </c>
      <c r="Q70" s="74" t="s">
        <v>37</v>
      </c>
      <c r="R70" s="74" t="s">
        <v>37</v>
      </c>
      <c r="S70" s="26">
        <f t="shared" ref="S70:S86" si="17">SUM(I70:R70)</f>
        <v>300000</v>
      </c>
    </row>
    <row r="71" spans="1:19" s="42" customFormat="1" ht="36.75" customHeight="1">
      <c r="A71" s="172" t="s">
        <v>147</v>
      </c>
      <c r="B71" s="58" t="s">
        <v>148</v>
      </c>
      <c r="C71" s="44" t="s">
        <v>149</v>
      </c>
      <c r="D71" s="59">
        <v>2015</v>
      </c>
      <c r="E71" s="59">
        <v>2023</v>
      </c>
      <c r="F71" s="60">
        <v>3000000</v>
      </c>
      <c r="G71" s="63"/>
      <c r="H71" s="64" t="s">
        <v>37</v>
      </c>
      <c r="I71" s="64" t="s">
        <v>37</v>
      </c>
      <c r="J71" s="64">
        <v>200000</v>
      </c>
      <c r="K71" s="64">
        <v>200000</v>
      </c>
      <c r="L71" s="64">
        <v>400000</v>
      </c>
      <c r="M71" s="63">
        <v>300000</v>
      </c>
      <c r="N71" s="64">
        <v>300000</v>
      </c>
      <c r="O71" s="64">
        <v>400000</v>
      </c>
      <c r="P71" s="64">
        <v>400000</v>
      </c>
      <c r="Q71" s="64">
        <v>400000</v>
      </c>
      <c r="R71" s="64">
        <v>400000</v>
      </c>
      <c r="S71" s="170">
        <f t="shared" si="17"/>
        <v>3000000</v>
      </c>
    </row>
    <row r="72" spans="1:19" s="42" customFormat="1" ht="50.25" customHeight="1">
      <c r="A72" s="118" t="s">
        <v>150</v>
      </c>
      <c r="B72" s="119" t="s">
        <v>195</v>
      </c>
      <c r="C72" s="120" t="s">
        <v>151</v>
      </c>
      <c r="D72" s="121">
        <v>2017</v>
      </c>
      <c r="E72" s="121">
        <v>2020</v>
      </c>
      <c r="F72" s="122">
        <v>100000</v>
      </c>
      <c r="G72" s="123"/>
      <c r="H72" s="124" t="s">
        <v>37</v>
      </c>
      <c r="I72" s="124" t="s">
        <v>37</v>
      </c>
      <c r="J72" s="124" t="s">
        <v>37</v>
      </c>
      <c r="K72" s="124" t="s">
        <v>37</v>
      </c>
      <c r="L72" s="124">
        <v>10000</v>
      </c>
      <c r="M72" s="124">
        <v>30000</v>
      </c>
      <c r="N72" s="124">
        <v>30000</v>
      </c>
      <c r="O72" s="124">
        <v>30000</v>
      </c>
      <c r="P72" s="124" t="s">
        <v>37</v>
      </c>
      <c r="Q72" s="124" t="s">
        <v>37</v>
      </c>
      <c r="R72" s="124" t="s">
        <v>37</v>
      </c>
      <c r="S72" s="125">
        <f t="shared" si="17"/>
        <v>100000</v>
      </c>
    </row>
    <row r="73" spans="1:19" s="42" customFormat="1" ht="38.25" customHeight="1">
      <c r="A73" s="112" t="s">
        <v>152</v>
      </c>
      <c r="B73" s="58" t="s">
        <v>153</v>
      </c>
      <c r="C73" s="44" t="s">
        <v>154</v>
      </c>
      <c r="D73" s="126">
        <v>2014</v>
      </c>
      <c r="E73" s="126">
        <v>2023</v>
      </c>
      <c r="F73" s="127">
        <v>550000</v>
      </c>
      <c r="G73" s="73"/>
      <c r="H73" s="128"/>
      <c r="I73" s="124">
        <v>38130</v>
      </c>
      <c r="J73" s="128">
        <v>26870</v>
      </c>
      <c r="K73" s="128">
        <v>65000</v>
      </c>
      <c r="L73" s="128">
        <v>60000</v>
      </c>
      <c r="M73" s="128">
        <v>60000</v>
      </c>
      <c r="N73" s="128">
        <v>60000</v>
      </c>
      <c r="O73" s="128">
        <v>60000</v>
      </c>
      <c r="P73" s="128">
        <v>60000</v>
      </c>
      <c r="Q73" s="128">
        <v>60000</v>
      </c>
      <c r="R73" s="128">
        <v>60000</v>
      </c>
      <c r="S73" s="26">
        <f t="shared" si="17"/>
        <v>550000</v>
      </c>
    </row>
    <row r="74" spans="1:19" s="42" customFormat="1" ht="84">
      <c r="A74" s="112" t="s">
        <v>155</v>
      </c>
      <c r="B74" s="58" t="s">
        <v>194</v>
      </c>
      <c r="C74" s="78" t="s">
        <v>156</v>
      </c>
      <c r="D74" s="59">
        <v>2017</v>
      </c>
      <c r="E74" s="59">
        <v>2019</v>
      </c>
      <c r="F74" s="60">
        <v>350000</v>
      </c>
      <c r="G74" s="63"/>
      <c r="H74" s="64">
        <v>0</v>
      </c>
      <c r="I74" s="64">
        <v>0</v>
      </c>
      <c r="J74" s="64">
        <v>0</v>
      </c>
      <c r="K74" s="64" t="s">
        <v>196</v>
      </c>
      <c r="L74" s="64">
        <v>100000</v>
      </c>
      <c r="M74" s="63">
        <v>100000</v>
      </c>
      <c r="N74" s="64">
        <v>150000</v>
      </c>
      <c r="O74" s="64">
        <v>0</v>
      </c>
      <c r="P74" s="64">
        <v>0</v>
      </c>
      <c r="Q74" s="64">
        <v>0</v>
      </c>
      <c r="R74" s="64">
        <v>0</v>
      </c>
      <c r="S74" s="26">
        <f t="shared" si="17"/>
        <v>350000</v>
      </c>
    </row>
    <row r="75" spans="1:19" s="34" customFormat="1" ht="36" customHeight="1">
      <c r="A75" s="112" t="s">
        <v>157</v>
      </c>
      <c r="B75" s="58" t="s">
        <v>158</v>
      </c>
      <c r="C75" s="44" t="s">
        <v>159</v>
      </c>
      <c r="D75" s="59">
        <v>2010</v>
      </c>
      <c r="E75" s="59">
        <v>2023</v>
      </c>
      <c r="F75" s="60">
        <v>4080000</v>
      </c>
      <c r="G75" s="63"/>
      <c r="H75" s="63">
        <v>80000</v>
      </c>
      <c r="I75" s="64">
        <v>82954</v>
      </c>
      <c r="J75" s="64">
        <v>287046</v>
      </c>
      <c r="K75" s="64">
        <v>300000</v>
      </c>
      <c r="L75" s="64">
        <v>350000</v>
      </c>
      <c r="M75" s="64">
        <v>400000</v>
      </c>
      <c r="N75" s="64">
        <v>500000</v>
      </c>
      <c r="O75" s="64">
        <v>500000</v>
      </c>
      <c r="P75" s="64">
        <v>500000</v>
      </c>
      <c r="Q75" s="64">
        <v>500000</v>
      </c>
      <c r="R75" s="64">
        <v>500000</v>
      </c>
      <c r="S75" s="26">
        <f t="shared" si="17"/>
        <v>3920000</v>
      </c>
    </row>
    <row r="76" spans="1:19" s="42" customFormat="1" ht="30.75" customHeight="1">
      <c r="A76" s="112" t="s">
        <v>160</v>
      </c>
      <c r="B76" s="58" t="s">
        <v>161</v>
      </c>
      <c r="C76" s="44" t="s">
        <v>43</v>
      </c>
      <c r="D76" s="59">
        <v>2007</v>
      </c>
      <c r="E76" s="59">
        <v>2017</v>
      </c>
      <c r="F76" s="60">
        <v>748924</v>
      </c>
      <c r="G76" s="63"/>
      <c r="H76" s="63">
        <v>105779</v>
      </c>
      <c r="I76" s="63">
        <v>97980</v>
      </c>
      <c r="J76" s="63">
        <v>92100</v>
      </c>
      <c r="K76" s="63">
        <v>87300</v>
      </c>
      <c r="L76" s="63">
        <v>32467</v>
      </c>
      <c r="M76" s="64" t="s">
        <v>37</v>
      </c>
      <c r="N76" s="64" t="s">
        <v>37</v>
      </c>
      <c r="O76" s="64" t="s">
        <v>37</v>
      </c>
      <c r="P76" s="64" t="s">
        <v>37</v>
      </c>
      <c r="Q76" s="64" t="s">
        <v>37</v>
      </c>
      <c r="R76" s="64" t="s">
        <v>37</v>
      </c>
      <c r="S76" s="26">
        <f t="shared" si="17"/>
        <v>309847</v>
      </c>
    </row>
    <row r="77" spans="1:19" s="42" customFormat="1" ht="135.75" customHeight="1">
      <c r="A77" s="112" t="s">
        <v>162</v>
      </c>
      <c r="B77" s="58" t="s">
        <v>163</v>
      </c>
      <c r="C77" s="44" t="s">
        <v>164</v>
      </c>
      <c r="D77" s="59">
        <v>2007</v>
      </c>
      <c r="E77" s="59">
        <v>2021</v>
      </c>
      <c r="F77" s="60">
        <v>1582500</v>
      </c>
      <c r="G77" s="63"/>
      <c r="H77" s="63">
        <v>120000</v>
      </c>
      <c r="I77" s="63">
        <v>260500</v>
      </c>
      <c r="J77" s="63">
        <v>150000</v>
      </c>
      <c r="K77" s="63">
        <v>150000</v>
      </c>
      <c r="L77" s="63">
        <v>100000</v>
      </c>
      <c r="M77" s="63">
        <v>100000</v>
      </c>
      <c r="N77" s="63">
        <v>100000</v>
      </c>
      <c r="O77" s="63">
        <v>169500</v>
      </c>
      <c r="P77" s="63">
        <v>200000</v>
      </c>
      <c r="Q77" s="64" t="s">
        <v>37</v>
      </c>
      <c r="R77" s="64" t="s">
        <v>37</v>
      </c>
      <c r="S77" s="26">
        <f t="shared" si="17"/>
        <v>1230000</v>
      </c>
    </row>
    <row r="78" spans="1:19" s="34" customFormat="1" ht="54.75" customHeight="1">
      <c r="A78" s="112" t="s">
        <v>165</v>
      </c>
      <c r="B78" s="58" t="s">
        <v>166</v>
      </c>
      <c r="C78" s="44" t="s">
        <v>167</v>
      </c>
      <c r="D78" s="59">
        <v>2016</v>
      </c>
      <c r="E78" s="59">
        <v>2017</v>
      </c>
      <c r="F78" s="60">
        <v>300000</v>
      </c>
      <c r="G78" s="63"/>
      <c r="H78" s="64" t="s">
        <v>37</v>
      </c>
      <c r="I78" s="64" t="s">
        <v>196</v>
      </c>
      <c r="J78" s="64" t="s">
        <v>196</v>
      </c>
      <c r="K78" s="64">
        <v>100000</v>
      </c>
      <c r="L78" s="63">
        <v>200000</v>
      </c>
      <c r="M78" s="64" t="s">
        <v>37</v>
      </c>
      <c r="N78" s="64" t="s">
        <v>37</v>
      </c>
      <c r="O78" s="64" t="s">
        <v>37</v>
      </c>
      <c r="P78" s="64" t="s">
        <v>37</v>
      </c>
      <c r="Q78" s="64" t="s">
        <v>37</v>
      </c>
      <c r="R78" s="64" t="s">
        <v>37</v>
      </c>
      <c r="S78" s="26">
        <f t="shared" si="17"/>
        <v>300000</v>
      </c>
    </row>
    <row r="79" spans="1:19" s="42" customFormat="1" ht="28.5" customHeight="1">
      <c r="A79" s="172" t="s">
        <v>168</v>
      </c>
      <c r="B79" s="58" t="s">
        <v>169</v>
      </c>
      <c r="C79" s="44" t="s">
        <v>43</v>
      </c>
      <c r="D79" s="59">
        <v>2007</v>
      </c>
      <c r="E79" s="59">
        <v>2017</v>
      </c>
      <c r="F79" s="60">
        <v>3271193</v>
      </c>
      <c r="G79" s="63"/>
      <c r="H79" s="63">
        <v>444730</v>
      </c>
      <c r="I79" s="63">
        <v>411600</v>
      </c>
      <c r="J79" s="63">
        <v>391746</v>
      </c>
      <c r="K79" s="63">
        <v>381074</v>
      </c>
      <c r="L79" s="63">
        <v>121201</v>
      </c>
      <c r="M79" s="64" t="s">
        <v>37</v>
      </c>
      <c r="N79" s="64" t="s">
        <v>37</v>
      </c>
      <c r="O79" s="64" t="s">
        <v>37</v>
      </c>
      <c r="P79" s="64" t="s">
        <v>37</v>
      </c>
      <c r="Q79" s="64" t="s">
        <v>37</v>
      </c>
      <c r="R79" s="64" t="s">
        <v>37</v>
      </c>
      <c r="S79" s="170">
        <f t="shared" si="17"/>
        <v>1305621</v>
      </c>
    </row>
    <row r="80" spans="1:19" s="42" customFormat="1" ht="42" customHeight="1">
      <c r="A80" s="112" t="s">
        <v>170</v>
      </c>
      <c r="B80" s="58" t="s">
        <v>171</v>
      </c>
      <c r="C80" s="44" t="s">
        <v>43</v>
      </c>
      <c r="D80" s="59">
        <v>2007</v>
      </c>
      <c r="E80" s="59">
        <v>2017</v>
      </c>
      <c r="F80" s="60">
        <v>963484</v>
      </c>
      <c r="G80" s="63"/>
      <c r="H80" s="63">
        <v>130614</v>
      </c>
      <c r="I80" s="63">
        <v>120880</v>
      </c>
      <c r="J80" s="63">
        <v>116613</v>
      </c>
      <c r="K80" s="63">
        <v>111919</v>
      </c>
      <c r="L80" s="63">
        <v>35590</v>
      </c>
      <c r="M80" s="64" t="s">
        <v>37</v>
      </c>
      <c r="N80" s="64" t="s">
        <v>37</v>
      </c>
      <c r="O80" s="64" t="s">
        <v>37</v>
      </c>
      <c r="P80" s="64" t="s">
        <v>37</v>
      </c>
      <c r="Q80" s="64" t="s">
        <v>37</v>
      </c>
      <c r="R80" s="64" t="s">
        <v>37</v>
      </c>
      <c r="S80" s="26">
        <f t="shared" si="17"/>
        <v>385002</v>
      </c>
    </row>
    <row r="81" spans="1:19" s="42" customFormat="1" ht="46.5" customHeight="1">
      <c r="A81" s="172" t="s">
        <v>172</v>
      </c>
      <c r="B81" s="58" t="s">
        <v>173</v>
      </c>
      <c r="C81" s="44" t="s">
        <v>174</v>
      </c>
      <c r="D81" s="59">
        <v>2014</v>
      </c>
      <c r="E81" s="59">
        <v>2020</v>
      </c>
      <c r="F81" s="60">
        <v>150000</v>
      </c>
      <c r="G81" s="63"/>
      <c r="H81" s="64" t="s">
        <v>37</v>
      </c>
      <c r="I81" s="64">
        <v>6000</v>
      </c>
      <c r="J81" s="64">
        <v>14000</v>
      </c>
      <c r="K81" s="64">
        <v>20000</v>
      </c>
      <c r="L81" s="64">
        <v>0</v>
      </c>
      <c r="M81" s="63">
        <v>30000</v>
      </c>
      <c r="N81" s="64">
        <v>30000</v>
      </c>
      <c r="O81" s="64">
        <v>50000</v>
      </c>
      <c r="P81" s="64" t="s">
        <v>37</v>
      </c>
      <c r="Q81" s="64" t="s">
        <v>37</v>
      </c>
      <c r="R81" s="64" t="s">
        <v>37</v>
      </c>
      <c r="S81" s="26">
        <f t="shared" si="17"/>
        <v>150000</v>
      </c>
    </row>
    <row r="82" spans="1:19" s="42" customFormat="1" ht="56.25" customHeight="1">
      <c r="A82" s="112" t="s">
        <v>175</v>
      </c>
      <c r="B82" s="58" t="s">
        <v>176</v>
      </c>
      <c r="C82" s="44" t="s">
        <v>177</v>
      </c>
      <c r="D82" s="59">
        <v>2016</v>
      </c>
      <c r="E82" s="59">
        <v>2017</v>
      </c>
      <c r="F82" s="60">
        <v>200000</v>
      </c>
      <c r="G82" s="63"/>
      <c r="H82" s="64">
        <v>0</v>
      </c>
      <c r="I82" s="64">
        <v>0</v>
      </c>
      <c r="J82" s="64" t="s">
        <v>37</v>
      </c>
      <c r="K82" s="64">
        <v>100000</v>
      </c>
      <c r="L82" s="64">
        <v>100000</v>
      </c>
      <c r="M82" s="63">
        <v>0</v>
      </c>
      <c r="N82" s="64">
        <v>0</v>
      </c>
      <c r="O82" s="64">
        <v>0</v>
      </c>
      <c r="P82" s="64">
        <v>0</v>
      </c>
      <c r="Q82" s="64">
        <v>0</v>
      </c>
      <c r="R82" s="64">
        <v>0</v>
      </c>
      <c r="S82" s="26">
        <f t="shared" si="17"/>
        <v>200000</v>
      </c>
    </row>
    <row r="83" spans="1:19" s="42" customFormat="1" ht="42" customHeight="1">
      <c r="A83" s="112" t="s">
        <v>178</v>
      </c>
      <c r="B83" s="58" t="s">
        <v>179</v>
      </c>
      <c r="C83" s="44" t="s">
        <v>43</v>
      </c>
      <c r="D83" s="59">
        <v>2008</v>
      </c>
      <c r="E83" s="59">
        <v>2017</v>
      </c>
      <c r="F83" s="60">
        <v>1145122</v>
      </c>
      <c r="G83" s="63"/>
      <c r="H83" s="63">
        <v>168610</v>
      </c>
      <c r="I83" s="63">
        <v>156100</v>
      </c>
      <c r="J83" s="63">
        <v>151169</v>
      </c>
      <c r="K83" s="63">
        <v>144894</v>
      </c>
      <c r="L83" s="63">
        <v>141223</v>
      </c>
      <c r="M83" s="64" t="s">
        <v>37</v>
      </c>
      <c r="N83" s="64" t="s">
        <v>37</v>
      </c>
      <c r="O83" s="64" t="s">
        <v>37</v>
      </c>
      <c r="P83" s="64" t="s">
        <v>37</v>
      </c>
      <c r="Q83" s="64" t="s">
        <v>37</v>
      </c>
      <c r="R83" s="64" t="s">
        <v>37</v>
      </c>
      <c r="S83" s="26">
        <f t="shared" si="17"/>
        <v>593386</v>
      </c>
    </row>
    <row r="84" spans="1:19" s="42" customFormat="1" ht="36">
      <c r="A84" s="112" t="s">
        <v>180</v>
      </c>
      <c r="B84" s="58" t="s">
        <v>181</v>
      </c>
      <c r="C84" s="44" t="s">
        <v>182</v>
      </c>
      <c r="D84" s="59">
        <v>2015</v>
      </c>
      <c r="E84" s="59">
        <v>2016</v>
      </c>
      <c r="F84" s="60">
        <v>100000</v>
      </c>
      <c r="G84" s="63"/>
      <c r="H84" s="63"/>
      <c r="I84" s="64" t="s">
        <v>196</v>
      </c>
      <c r="J84" s="63">
        <v>80000</v>
      </c>
      <c r="K84" s="64">
        <v>20000</v>
      </c>
      <c r="L84" s="64" t="s">
        <v>37</v>
      </c>
      <c r="M84" s="64" t="s">
        <v>37</v>
      </c>
      <c r="N84" s="64" t="s">
        <v>37</v>
      </c>
      <c r="O84" s="64" t="s">
        <v>37</v>
      </c>
      <c r="P84" s="64" t="s">
        <v>37</v>
      </c>
      <c r="Q84" s="64" t="s">
        <v>37</v>
      </c>
      <c r="R84" s="64" t="s">
        <v>37</v>
      </c>
      <c r="S84" s="26">
        <f t="shared" si="17"/>
        <v>100000</v>
      </c>
    </row>
    <row r="85" spans="1:19" s="42" customFormat="1" ht="42" customHeight="1">
      <c r="A85" s="112" t="s">
        <v>183</v>
      </c>
      <c r="B85" s="129" t="s">
        <v>184</v>
      </c>
      <c r="C85" s="51" t="s">
        <v>185</v>
      </c>
      <c r="D85" s="71">
        <v>2020</v>
      </c>
      <c r="E85" s="71">
        <v>2021</v>
      </c>
      <c r="F85" s="56">
        <v>400000</v>
      </c>
      <c r="G85" s="74" t="s">
        <v>37</v>
      </c>
      <c r="H85" s="74" t="s">
        <v>37</v>
      </c>
      <c r="I85" s="74" t="s">
        <v>37</v>
      </c>
      <c r="J85" s="74" t="s">
        <v>37</v>
      </c>
      <c r="K85" s="75">
        <v>0</v>
      </c>
      <c r="L85" s="74" t="s">
        <v>37</v>
      </c>
      <c r="M85" s="74" t="s">
        <v>37</v>
      </c>
      <c r="N85" s="74" t="s">
        <v>37</v>
      </c>
      <c r="O85" s="74">
        <v>100000</v>
      </c>
      <c r="P85" s="74">
        <v>300000</v>
      </c>
      <c r="Q85" s="74" t="s">
        <v>37</v>
      </c>
      <c r="R85" s="74" t="s">
        <v>37</v>
      </c>
      <c r="S85" s="26">
        <f t="shared" si="17"/>
        <v>400000</v>
      </c>
    </row>
    <row r="86" spans="1:19" s="42" customFormat="1" ht="42" customHeight="1" thickBot="1">
      <c r="A86" s="130" t="s">
        <v>186</v>
      </c>
      <c r="B86" s="131" t="s">
        <v>187</v>
      </c>
      <c r="C86" s="132" t="s">
        <v>188</v>
      </c>
      <c r="D86" s="79">
        <v>2018</v>
      </c>
      <c r="E86" s="79">
        <v>2019</v>
      </c>
      <c r="F86" s="83">
        <v>100000</v>
      </c>
      <c r="G86" s="84" t="s">
        <v>37</v>
      </c>
      <c r="H86" s="84" t="s">
        <v>37</v>
      </c>
      <c r="I86" s="84" t="s">
        <v>37</v>
      </c>
      <c r="J86" s="84" t="s">
        <v>37</v>
      </c>
      <c r="K86" s="82">
        <v>0</v>
      </c>
      <c r="L86" s="84" t="s">
        <v>37</v>
      </c>
      <c r="M86" s="84">
        <v>50000</v>
      </c>
      <c r="N86" s="84">
        <v>50000</v>
      </c>
      <c r="O86" s="84" t="s">
        <v>37</v>
      </c>
      <c r="P86" s="84" t="s">
        <v>37</v>
      </c>
      <c r="Q86" s="84" t="s">
        <v>37</v>
      </c>
      <c r="R86" s="84" t="s">
        <v>37</v>
      </c>
      <c r="S86" s="173">
        <f t="shared" si="17"/>
        <v>100000</v>
      </c>
    </row>
    <row r="87" spans="1:19" s="15" customFormat="1">
      <c r="A87" s="133"/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</row>
    <row r="88" spans="1:19" s="15" customFormat="1">
      <c r="A88" s="472" t="s">
        <v>189</v>
      </c>
      <c r="B88" s="472"/>
      <c r="C88" s="472"/>
      <c r="D88" s="472"/>
      <c r="E88" s="472"/>
      <c r="F88" s="472"/>
      <c r="G88" s="472"/>
      <c r="H88" s="472"/>
      <c r="I88" s="472"/>
      <c r="J88" s="472"/>
      <c r="K88" s="472"/>
      <c r="L88" s="472"/>
      <c r="M88" s="472"/>
      <c r="N88" s="472"/>
      <c r="O88" s="472"/>
      <c r="P88" s="472"/>
      <c r="Q88" s="472"/>
      <c r="R88" s="472"/>
      <c r="S88" s="472"/>
    </row>
    <row r="89" spans="1:19" s="6" customFormat="1">
      <c r="A89" s="134"/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</row>
    <row r="90" spans="1:19" s="6" customFormat="1">
      <c r="A90" s="134"/>
      <c r="B90" s="134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</row>
    <row r="91" spans="1:19" s="6" customFormat="1" hidden="1">
      <c r="A91" s="134"/>
      <c r="B91" s="134"/>
      <c r="C91" s="134"/>
      <c r="D91" s="134"/>
      <c r="E91" s="134"/>
      <c r="F91" s="134"/>
      <c r="G91" s="135" t="e">
        <f>SUM(#REF!,#REF!,G65,G68,#REF!,#REF!,#REF!)</f>
        <v>#REF!</v>
      </c>
      <c r="H91" s="135" t="e">
        <f>SUM(#REF!,#REF!,H65,H68,#REF!,#REF!,#REF!)</f>
        <v>#REF!</v>
      </c>
      <c r="I91" s="135" t="e">
        <f>SUM(#REF!,#REF!,I65,I68,#REF!,#REF!,#REF!)</f>
        <v>#REF!</v>
      </c>
      <c r="J91" s="135" t="e">
        <f>SUM(#REF!,#REF!,J65,J68,#REF!,#REF!,#REF!)</f>
        <v>#REF!</v>
      </c>
      <c r="K91" s="135" t="e">
        <f>SUM(#REF!,#REF!,K65,K68,#REF!,#REF!,#REF!)</f>
        <v>#REF!</v>
      </c>
      <c r="L91" s="135" t="e">
        <f>SUM(#REF!,#REF!,L65,L68,#REF!,#REF!,#REF!)</f>
        <v>#REF!</v>
      </c>
      <c r="M91" s="135" t="e">
        <f>SUM(#REF!,#REF!,M65,M68,#REF!,#REF!,#REF!)</f>
        <v>#REF!</v>
      </c>
      <c r="N91" s="135" t="e">
        <f>SUM(#REF!,#REF!,N65,N68,#REF!,#REF!,#REF!)</f>
        <v>#REF!</v>
      </c>
      <c r="O91" s="135" t="e">
        <f>SUM(#REF!,#REF!,O65,O68,#REF!,#REF!,#REF!)</f>
        <v>#REF!</v>
      </c>
      <c r="P91" s="135" t="e">
        <f>SUM(#REF!,#REF!,P65,P68,#REF!,#REF!,#REF!)</f>
        <v>#REF!</v>
      </c>
      <c r="Q91" s="135"/>
      <c r="R91" s="135"/>
      <c r="S91" s="135" t="e">
        <f>SUM(#REF!,#REF!,S65,S68,#REF!,#REF!,#REF!)</f>
        <v>#REF!</v>
      </c>
    </row>
    <row r="92" spans="1:19" s="6" customFormat="1" hidden="1">
      <c r="A92" s="134"/>
      <c r="B92" s="134"/>
      <c r="C92" s="134"/>
      <c r="D92" s="134"/>
      <c r="E92" s="134"/>
      <c r="F92" s="134"/>
      <c r="G92" s="135" t="e">
        <f>SUM(#REF!,#REF!,#REF!,#REF!,#REF!,#REF!,#REF!,#REF!,#REF!,#REF!,#REF!,#REF!,#REF!,#REF!,#REF!,#REF!,#REF!,#REF!,#REF!,#REF!,#REF!,#REF!,#REF!)</f>
        <v>#REF!</v>
      </c>
      <c r="H92" s="135" t="e">
        <f>SUM(#REF!,#REF!,#REF!,#REF!,#REF!,#REF!,#REF!,#REF!,#REF!,#REF!,#REF!,#REF!,#REF!,#REF!,#REF!,#REF!,#REF!,#REF!,#REF!,#REF!,#REF!,#REF!,#REF!)</f>
        <v>#REF!</v>
      </c>
      <c r="I92" s="135" t="e">
        <f>SUM(#REF!,#REF!,#REF!,#REF!,#REF!,#REF!,#REF!,#REF!,#REF!,#REF!,#REF!,#REF!,#REF!,#REF!,#REF!,#REF!,#REF!,#REF!,#REF!,#REF!,#REF!,#REF!,#REF!)</f>
        <v>#REF!</v>
      </c>
      <c r="J92" s="135" t="e">
        <f>SUM(#REF!,#REF!,#REF!,#REF!,#REF!,#REF!,#REF!,#REF!,#REF!,#REF!,#REF!,#REF!,#REF!,#REF!,#REF!,#REF!,#REF!,#REF!,#REF!,#REF!,#REF!,#REF!,#REF!)</f>
        <v>#REF!</v>
      </c>
      <c r="K92" s="135" t="e">
        <f>SUM(#REF!,#REF!,#REF!,#REF!,#REF!,#REF!,#REF!,#REF!,#REF!,#REF!,#REF!,#REF!,#REF!,#REF!,#REF!,#REF!,#REF!,#REF!,#REF!,#REF!,#REF!,#REF!,#REF!)</f>
        <v>#REF!</v>
      </c>
      <c r="L92" s="135" t="e">
        <f>SUM(#REF!,#REF!,#REF!,#REF!,#REF!,#REF!,#REF!,#REF!,#REF!,#REF!,#REF!,#REF!,#REF!,#REF!,#REF!,#REF!,#REF!,#REF!,#REF!,#REF!,#REF!,#REF!,#REF!)</f>
        <v>#REF!</v>
      </c>
      <c r="M92" s="135" t="e">
        <f>SUM(#REF!,#REF!,#REF!,#REF!,#REF!,#REF!,#REF!,#REF!,#REF!,#REF!,#REF!,#REF!,#REF!,#REF!,#REF!,#REF!,#REF!,#REF!,#REF!,#REF!,#REF!,#REF!,#REF!)</f>
        <v>#REF!</v>
      </c>
      <c r="N92" s="135" t="e">
        <f>SUM(#REF!,#REF!,#REF!,#REF!,#REF!,#REF!,#REF!,#REF!,#REF!,#REF!,#REF!,#REF!,#REF!,#REF!,#REF!,#REF!,#REF!,#REF!,#REF!,#REF!,#REF!,#REF!,#REF!)</f>
        <v>#REF!</v>
      </c>
      <c r="O92" s="135" t="e">
        <f>SUM(#REF!,#REF!,#REF!,#REF!,#REF!,#REF!,#REF!,#REF!,#REF!,#REF!,#REF!,#REF!,#REF!,#REF!,#REF!,#REF!,#REF!,#REF!,#REF!,#REF!,#REF!,#REF!,#REF!)</f>
        <v>#REF!</v>
      </c>
      <c r="P92" s="135" t="e">
        <f>SUM(#REF!,#REF!,#REF!,#REF!,#REF!,#REF!,#REF!,#REF!,#REF!,#REF!,#REF!,#REF!,#REF!,#REF!,#REF!,#REF!,#REF!,#REF!,#REF!,#REF!,#REF!,#REF!,#REF!)</f>
        <v>#REF!</v>
      </c>
      <c r="Q92" s="135"/>
      <c r="R92" s="135"/>
      <c r="S92" s="135" t="e">
        <f>SUM(#REF!,#REF!,#REF!,#REF!,#REF!,#REF!,#REF!,#REF!,#REF!,#REF!,#REF!,#REF!,#REF!,#REF!,#REF!,#REF!,#REF!,#REF!,#REF!,#REF!,#REF!,#REF!,#REF!)</f>
        <v>#REF!</v>
      </c>
    </row>
    <row r="93" spans="1:19" s="138" customFormat="1" hidden="1">
      <c r="A93" s="136"/>
      <c r="B93" s="136"/>
      <c r="C93" s="136"/>
      <c r="D93" s="136"/>
      <c r="E93" s="136"/>
      <c r="F93" s="136"/>
      <c r="G93" s="137" t="e">
        <f t="shared" ref="G93:P93" si="18">SUM(G91:G92)</f>
        <v>#REF!</v>
      </c>
      <c r="H93" s="137" t="e">
        <f t="shared" si="18"/>
        <v>#REF!</v>
      </c>
      <c r="I93" s="137" t="e">
        <f t="shared" si="18"/>
        <v>#REF!</v>
      </c>
      <c r="J93" s="137" t="e">
        <f t="shared" si="18"/>
        <v>#REF!</v>
      </c>
      <c r="K93" s="137" t="e">
        <f t="shared" si="18"/>
        <v>#REF!</v>
      </c>
      <c r="L93" s="137" t="e">
        <f t="shared" si="18"/>
        <v>#REF!</v>
      </c>
      <c r="M93" s="137" t="e">
        <f t="shared" si="18"/>
        <v>#REF!</v>
      </c>
      <c r="N93" s="137" t="e">
        <f t="shared" si="18"/>
        <v>#REF!</v>
      </c>
      <c r="O93" s="137" t="e">
        <f t="shared" si="18"/>
        <v>#REF!</v>
      </c>
      <c r="P93" s="137" t="e">
        <f t="shared" si="18"/>
        <v>#REF!</v>
      </c>
      <c r="Q93" s="137"/>
      <c r="R93" s="137"/>
      <c r="S93" s="137" t="e">
        <f>SUM(S91:S92)</f>
        <v>#REF!</v>
      </c>
    </row>
    <row r="94" spans="1:19" s="6" customFormat="1" hidden="1">
      <c r="A94" s="134"/>
      <c r="B94" s="134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</row>
    <row r="95" spans="1:19" s="6" customFormat="1" hidden="1">
      <c r="A95" s="134"/>
      <c r="B95" s="134"/>
      <c r="C95" s="134"/>
      <c r="D95" s="134"/>
      <c r="E95" s="134"/>
      <c r="F95" s="134"/>
      <c r="G95" s="135" t="e">
        <f>SUM(#REF!,#REF!,G66,G69,#REF!,#REF!,#REF!)</f>
        <v>#REF!</v>
      </c>
      <c r="H95" s="135" t="e">
        <f>SUM(#REF!,#REF!,H66,H69,#REF!,#REF!,#REF!)</f>
        <v>#REF!</v>
      </c>
      <c r="I95" s="135" t="e">
        <f>SUM(#REF!,#REF!,I66,I69,#REF!,#REF!,#REF!)</f>
        <v>#REF!</v>
      </c>
      <c r="J95" s="135" t="e">
        <f>SUM(#REF!,#REF!,J66,J69,#REF!,#REF!,#REF!)</f>
        <v>#REF!</v>
      </c>
      <c r="K95" s="135" t="e">
        <f>SUM(#REF!,#REF!,K66,K69,#REF!,#REF!,#REF!)</f>
        <v>#REF!</v>
      </c>
      <c r="L95" s="135" t="e">
        <f>SUM(#REF!,#REF!,L66,L69,#REF!,#REF!,#REF!)</f>
        <v>#REF!</v>
      </c>
      <c r="M95" s="135" t="e">
        <f>SUM(#REF!,#REF!,M66,M69,#REF!,#REF!,#REF!)</f>
        <v>#REF!</v>
      </c>
      <c r="N95" s="135" t="e">
        <f>SUM(#REF!,#REF!,N66,N69,#REF!,#REF!,#REF!)</f>
        <v>#REF!</v>
      </c>
      <c r="O95" s="135" t="e">
        <f>SUM(#REF!,#REF!,O66,O69,#REF!,#REF!,#REF!)</f>
        <v>#REF!</v>
      </c>
      <c r="P95" s="135" t="e">
        <f>SUM(#REF!,#REF!,P66,P69,#REF!,#REF!,#REF!)</f>
        <v>#REF!</v>
      </c>
      <c r="Q95" s="135"/>
      <c r="R95" s="135"/>
      <c r="S95" s="135" t="e">
        <f>SUM(#REF!,#REF!,S66,S69,#REF!,#REF!,#REF!)</f>
        <v>#REF!</v>
      </c>
    </row>
    <row r="96" spans="1:19" s="6" customFormat="1" hidden="1">
      <c r="A96" s="134"/>
      <c r="B96" s="134"/>
      <c r="C96" s="134"/>
      <c r="D96" s="134"/>
      <c r="E96" s="134"/>
      <c r="F96" s="134"/>
      <c r="G96" s="135" t="e">
        <f>SUM(#REF!,#REF!,#REF!,#REF!,#REF!,#REF!,#REF!,#REF!,#REF!,#REF!,#REF!,#REF!,#REF!,#REF!,#REF!,#REF!,#REF!,#REF!,#REF!,#REF!,#REF!,#REF!,#REF!,#REF!,#REF!,#REF!)</f>
        <v>#REF!</v>
      </c>
      <c r="H96" s="135" t="e">
        <f>SUM(#REF!,#REF!,#REF!,#REF!,#REF!,#REF!,#REF!,#REF!,#REF!,#REF!,#REF!,#REF!,#REF!,#REF!,#REF!,#REF!,#REF!,#REF!,#REF!,#REF!,#REF!,#REF!,#REF!,#REF!,#REF!,#REF!)</f>
        <v>#REF!</v>
      </c>
      <c r="I96" s="135" t="e">
        <f>SUM(#REF!,#REF!,#REF!,#REF!,#REF!,#REF!,#REF!,#REF!,#REF!,#REF!,#REF!,#REF!,#REF!,#REF!,#REF!,#REF!,#REF!,#REF!,#REF!,#REF!,#REF!,#REF!,#REF!,#REF!,#REF!,#REF!)</f>
        <v>#REF!</v>
      </c>
      <c r="J96" s="135" t="e">
        <f>SUM(#REF!,#REF!,#REF!,#REF!,#REF!,#REF!,#REF!,#REF!,#REF!,#REF!,#REF!,#REF!,#REF!,#REF!,#REF!,#REF!,#REF!,#REF!,#REF!,#REF!,#REF!,#REF!,#REF!,#REF!,#REF!,#REF!)</f>
        <v>#REF!</v>
      </c>
      <c r="K96" s="135" t="e">
        <f>SUM(#REF!,#REF!,#REF!,#REF!,#REF!,#REF!,#REF!,#REF!,#REF!,#REF!,#REF!,#REF!,#REF!,#REF!,#REF!,#REF!,#REF!,#REF!,#REF!,#REF!,#REF!,#REF!,#REF!,#REF!,#REF!,#REF!)</f>
        <v>#REF!</v>
      </c>
      <c r="L96" s="135" t="e">
        <f>SUM(#REF!,#REF!,#REF!,#REF!,#REF!,#REF!,#REF!,#REF!,#REF!,#REF!,#REF!,#REF!,#REF!,#REF!,#REF!,#REF!,#REF!,#REF!,#REF!,#REF!,#REF!,#REF!,#REF!,#REF!,#REF!,#REF!)</f>
        <v>#REF!</v>
      </c>
      <c r="M96" s="135" t="e">
        <f>SUM(#REF!,#REF!,#REF!,#REF!,#REF!,#REF!,#REF!,#REF!,#REF!,#REF!,#REF!,#REF!,#REF!,#REF!,#REF!,#REF!,#REF!,#REF!,#REF!,#REF!,#REF!,#REF!,#REF!,#REF!,#REF!,#REF!)</f>
        <v>#REF!</v>
      </c>
      <c r="N96" s="135" t="e">
        <f>SUM(#REF!,#REF!,#REF!,#REF!,#REF!,#REF!,#REF!,#REF!,#REF!,#REF!,#REF!,#REF!,#REF!,#REF!,#REF!,#REF!,#REF!,#REF!,#REF!,#REF!,#REF!,#REF!,#REF!,#REF!,#REF!,#REF!)</f>
        <v>#REF!</v>
      </c>
      <c r="O96" s="135" t="e">
        <f>SUM(#REF!,#REF!,#REF!,#REF!,#REF!,#REF!,#REF!,#REF!,#REF!,#REF!,#REF!,#REF!,#REF!,#REF!,#REF!,#REF!,#REF!,#REF!,#REF!,#REF!,#REF!,#REF!,#REF!,#REF!,#REF!,#REF!)</f>
        <v>#REF!</v>
      </c>
      <c r="P96" s="135" t="e">
        <f>SUM(#REF!,#REF!,#REF!,#REF!,#REF!,#REF!,#REF!,#REF!,#REF!,#REF!,#REF!,#REF!,#REF!,#REF!,#REF!,#REF!,#REF!,#REF!,#REF!,#REF!,#REF!,#REF!,#REF!,#REF!,#REF!,#REF!)</f>
        <v>#REF!</v>
      </c>
      <c r="Q96" s="135"/>
      <c r="R96" s="135"/>
      <c r="S96" s="135" t="e">
        <f>SUM(#REF!,#REF!,#REF!,#REF!,#REF!,#REF!,#REF!,#REF!,#REF!,#REF!,#REF!,#REF!,#REF!,#REF!,#REF!,#REF!,#REF!,#REF!,#REF!,#REF!,#REF!,#REF!,#REF!,#REF!,#REF!,#REF!)</f>
        <v>#REF!</v>
      </c>
    </row>
    <row r="97" spans="1:19" s="138" customFormat="1" hidden="1">
      <c r="A97" s="136"/>
      <c r="B97" s="136"/>
      <c r="C97" s="136"/>
      <c r="D97" s="136"/>
      <c r="E97" s="136"/>
      <c r="F97" s="136"/>
      <c r="G97" s="137" t="e">
        <f t="shared" ref="G97:P97" si="19">SUM(G95:G96)</f>
        <v>#REF!</v>
      </c>
      <c r="H97" s="137" t="e">
        <f t="shared" si="19"/>
        <v>#REF!</v>
      </c>
      <c r="I97" s="137" t="e">
        <f t="shared" si="19"/>
        <v>#REF!</v>
      </c>
      <c r="J97" s="137" t="e">
        <f t="shared" si="19"/>
        <v>#REF!</v>
      </c>
      <c r="K97" s="137" t="e">
        <f t="shared" si="19"/>
        <v>#REF!</v>
      </c>
      <c r="L97" s="137" t="e">
        <f t="shared" si="19"/>
        <v>#REF!</v>
      </c>
      <c r="M97" s="137" t="e">
        <f t="shared" si="19"/>
        <v>#REF!</v>
      </c>
      <c r="N97" s="137" t="e">
        <f t="shared" si="19"/>
        <v>#REF!</v>
      </c>
      <c r="O97" s="137" t="e">
        <f t="shared" si="19"/>
        <v>#REF!</v>
      </c>
      <c r="P97" s="137" t="e">
        <f t="shared" si="19"/>
        <v>#REF!</v>
      </c>
      <c r="Q97" s="137"/>
      <c r="R97" s="137"/>
      <c r="S97" s="137" t="e">
        <f>SUM(S95:S96)</f>
        <v>#REF!</v>
      </c>
    </row>
    <row r="98" spans="1:19" s="6" customFormat="1">
      <c r="A98" s="134"/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</row>
    <row r="99" spans="1:19" s="6" customFormat="1">
      <c r="A99" s="134"/>
      <c r="B99" s="134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</row>
    <row r="100" spans="1:19" s="6" customFormat="1">
      <c r="A100" s="134"/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</row>
    <row r="101" spans="1:19" s="6" customFormat="1">
      <c r="A101" s="134"/>
      <c r="B101" s="134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</row>
    <row r="102" spans="1:19" s="6" customFormat="1">
      <c r="A102" s="134"/>
      <c r="B102" s="134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</row>
    <row r="103" spans="1:19" s="6" customFormat="1">
      <c r="A103" s="134"/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</row>
    <row r="104" spans="1:19" s="6" customFormat="1">
      <c r="A104" s="134"/>
      <c r="B104" s="134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</row>
    <row r="105" spans="1:19" s="6" customFormat="1">
      <c r="A105" s="134"/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</row>
    <row r="106" spans="1:19" s="6" customFormat="1">
      <c r="A106" s="134"/>
      <c r="B106" s="134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/>
    </row>
    <row r="107" spans="1:19" s="6" customFormat="1">
      <c r="A107" s="134"/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S107" s="134"/>
    </row>
    <row r="108" spans="1:19" s="6" customFormat="1">
      <c r="A108" s="134"/>
      <c r="B108" s="134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</row>
    <row r="109" spans="1:19" s="6" customFormat="1">
      <c r="A109" s="134"/>
      <c r="B109" s="134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</row>
    <row r="110" spans="1:19" s="6" customFormat="1">
      <c r="A110" s="134"/>
      <c r="B110" s="134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</row>
    <row r="111" spans="1:19" s="6" customFormat="1">
      <c r="A111" s="134"/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</row>
    <row r="112" spans="1:19" s="6" customFormat="1">
      <c r="A112" s="134"/>
      <c r="B112" s="134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</row>
    <row r="113" spans="1:19" s="6" customFormat="1">
      <c r="A113" s="134"/>
      <c r="B113" s="134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</row>
    <row r="114" spans="1:19" s="6" customFormat="1">
      <c r="A114" s="134"/>
      <c r="B114" s="134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</row>
    <row r="115" spans="1:19" s="6" customFormat="1">
      <c r="A115" s="134"/>
      <c r="B115" s="134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</row>
    <row r="116" spans="1:19" s="6" customFormat="1">
      <c r="A116" s="134"/>
      <c r="B116" s="134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</row>
    <row r="117" spans="1:19" s="6" customFormat="1">
      <c r="A117" s="134"/>
      <c r="B117" s="134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</row>
    <row r="118" spans="1:19" s="6" customFormat="1">
      <c r="A118" s="134"/>
      <c r="B118" s="134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</row>
  </sheetData>
  <mergeCells count="47">
    <mergeCell ref="B17:E17"/>
    <mergeCell ref="K1:S1"/>
    <mergeCell ref="A3:S3"/>
    <mergeCell ref="A5:A6"/>
    <mergeCell ref="B5:B6"/>
    <mergeCell ref="C5:C6"/>
    <mergeCell ref="D5:E5"/>
    <mergeCell ref="F5:F6"/>
    <mergeCell ref="G5:R5"/>
    <mergeCell ref="S5:S6"/>
    <mergeCell ref="B8:E8"/>
    <mergeCell ref="B9:E9"/>
    <mergeCell ref="B10:E10"/>
    <mergeCell ref="B11:E11"/>
    <mergeCell ref="B12:E12"/>
    <mergeCell ref="B39:E39"/>
    <mergeCell ref="B40:E40"/>
    <mergeCell ref="B41:E41"/>
    <mergeCell ref="A42:A44"/>
    <mergeCell ref="C42:C44"/>
    <mergeCell ref="D42:D44"/>
    <mergeCell ref="E42:E44"/>
    <mergeCell ref="B51:E51"/>
    <mergeCell ref="S42:S44"/>
    <mergeCell ref="A45:A47"/>
    <mergeCell ref="C45:C47"/>
    <mergeCell ref="D45:D47"/>
    <mergeCell ref="E45:E47"/>
    <mergeCell ref="S45:S47"/>
    <mergeCell ref="A48:A50"/>
    <mergeCell ref="C48:C50"/>
    <mergeCell ref="D48:D50"/>
    <mergeCell ref="E48:E50"/>
    <mergeCell ref="S48:S50"/>
    <mergeCell ref="B52:E52"/>
    <mergeCell ref="B63:E63"/>
    <mergeCell ref="A64:A66"/>
    <mergeCell ref="C64:C66"/>
    <mergeCell ref="D64:D66"/>
    <mergeCell ref="E64:E66"/>
    <mergeCell ref="A88:S88"/>
    <mergeCell ref="S64:S66"/>
    <mergeCell ref="A67:A69"/>
    <mergeCell ref="C67:C69"/>
    <mergeCell ref="D67:D69"/>
    <mergeCell ref="E67:E69"/>
    <mergeCell ref="S67:S69"/>
  </mergeCells>
  <printOptions horizontalCentered="1"/>
  <pageMargins left="0.15748031496062992" right="0.15748031496062992" top="0.74803149606299213" bottom="0.74803149606299213" header="0.31496062992125984" footer="0.31496062992125984"/>
  <pageSetup paperSize="9" scale="70" orientation="landscape" r:id="rId1"/>
  <rowBreaks count="5" manualBreakCount="5">
    <brk id="16" max="18" man="1"/>
    <brk id="29" max="18" man="1"/>
    <brk id="53" max="18" man="1"/>
    <brk id="62" max="18" man="1"/>
    <brk id="80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3</vt:i4>
      </vt:variant>
    </vt:vector>
  </HeadingPairs>
  <TitlesOfParts>
    <vt:vector size="8" baseType="lpstr">
      <vt:lpstr>Zał.1_WPF_bazowy</vt:lpstr>
      <vt:lpstr>Zał. 3-Przedsięwzięcia</vt:lpstr>
      <vt:lpstr>Arkusz1</vt:lpstr>
      <vt:lpstr>Arkusz2</vt:lpstr>
      <vt:lpstr>Arkusz3</vt:lpstr>
      <vt:lpstr>'Zał. 3-Przedsięwzięcia'!Obszar_wydruku</vt:lpstr>
      <vt:lpstr>Zał.1_WPF_bazowy!Obszar_wydruku</vt:lpstr>
      <vt:lpstr>'Zał. 3-Przedsięwzięcia'!Tytuły_wydruku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2014-03-20T09:55:06Z</dcterms:modified>
</cp:coreProperties>
</file>