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 activeTab="1"/>
  </bookViews>
  <sheets>
    <sheet name="Zał.1_WPF_bazowy" sheetId="9" r:id="rId1"/>
    <sheet name="Zał. 3-Przedsięwzięcia" sheetId="6" r:id="rId2"/>
    <sheet name="Arkusz1" sheetId="1" r:id="rId3"/>
    <sheet name="Arkusz2" sheetId="2" r:id="rId4"/>
    <sheet name="Arkusz3" sheetId="3" r:id="rId5"/>
  </sheets>
  <externalReferences>
    <externalReference r:id="rId6"/>
  </externalReferences>
  <definedNames>
    <definedName name="_xlnm._FilterDatabase" localSheetId="0" hidden="1">Zał.1_WPF_bazowy!$A$9:$A$110</definedName>
    <definedName name="_xlnm.Print_Area" localSheetId="1">'Zał. 3-Przedsięwzięcia'!$A$1:$S$89</definedName>
    <definedName name="_xlnm.Print_Area" localSheetId="0">Zał.1_WPF_bazowy!$B$2:$R$114</definedName>
    <definedName name="_xlnm.Print_Titles" localSheetId="1">'Zał. 3-Przedsięwzięcia'!$5:$6</definedName>
    <definedName name="Z_9360F695_77C0_4418_82C5_829A762C44E9_.wvu.Cols" localSheetId="0" hidden="1">Zał.1_WPF_bazowy!$A$1:$A$65536,Zał.1_WPF_bazowy!$C$1:$C$65536</definedName>
    <definedName name="Z_9360F695_77C0_4418_82C5_829A762C44E9_.wvu.FilterData" localSheetId="0" hidden="1">Zał.1_WPF_bazowy!$A$9:$A$110</definedName>
    <definedName name="Z_9360F695_77C0_4418_82C5_829A762C44E9_.wvu.PrintArea" localSheetId="0" hidden="1">Zał.1_WPF_bazowy!$B$8:$AL$110</definedName>
    <definedName name="Z_9360F695_77C0_4418_82C5_829A762C44E9_.wvu.PrintTitles" localSheetId="0" hidden="1">Zał.1_WPF_bazowy!$B$1:$D$65536,Zał.1_WPF_bazowy!$A$8:$IV$9</definedName>
  </definedNames>
  <calcPr calcId="124519"/>
</workbook>
</file>

<file path=xl/calcChain.xml><?xml version="1.0" encoding="utf-8"?>
<calcChain xmlns="http://schemas.openxmlformats.org/spreadsheetml/2006/main">
  <c r="E203" i="9"/>
  <c r="E202"/>
  <c r="E201"/>
  <c r="E195"/>
  <c r="E194"/>
  <c r="E193"/>
  <c r="AL114"/>
  <c r="AK114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AL113"/>
  <c r="AK113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AL112"/>
  <c r="AL158" s="1"/>
  <c r="AK112"/>
  <c r="AK158" s="1"/>
  <c r="AJ112"/>
  <c r="AJ158" s="1"/>
  <c r="AI112"/>
  <c r="AI158" s="1"/>
  <c r="AH112"/>
  <c r="AH158" s="1"/>
  <c r="AG112"/>
  <c r="AG158" s="1"/>
  <c r="AF112"/>
  <c r="AF158" s="1"/>
  <c r="AE112"/>
  <c r="AE158" s="1"/>
  <c r="AD112"/>
  <c r="AD158" s="1"/>
  <c r="AC112"/>
  <c r="AC158" s="1"/>
  <c r="AB112"/>
  <c r="AB158" s="1"/>
  <c r="AA112"/>
  <c r="AA158" s="1"/>
  <c r="Z112"/>
  <c r="Z158" s="1"/>
  <c r="Y112"/>
  <c r="Y158" s="1"/>
  <c r="X112"/>
  <c r="X158" s="1"/>
  <c r="W112"/>
  <c r="W158" s="1"/>
  <c r="V112"/>
  <c r="V158" s="1"/>
  <c r="U112"/>
  <c r="U158" s="1"/>
  <c r="T112"/>
  <c r="T158" s="1"/>
  <c r="S112"/>
  <c r="S158" s="1"/>
  <c r="R112"/>
  <c r="R158" s="1"/>
  <c r="Q112"/>
  <c r="Q158" s="1"/>
  <c r="P112"/>
  <c r="P158" s="1"/>
  <c r="O112"/>
  <c r="O158" s="1"/>
  <c r="N112"/>
  <c r="N158" s="1"/>
  <c r="M112"/>
  <c r="M158" s="1"/>
  <c r="L112"/>
  <c r="L158" s="1"/>
  <c r="K112"/>
  <c r="K158" s="1"/>
  <c r="J112"/>
  <c r="J158" s="1"/>
  <c r="I112"/>
  <c r="I158" s="1"/>
  <c r="H112"/>
  <c r="G112"/>
  <c r="F112"/>
  <c r="E112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AL106"/>
  <c r="AL157" s="1"/>
  <c r="AK106"/>
  <c r="AK157" s="1"/>
  <c r="AJ106"/>
  <c r="AJ157" s="1"/>
  <c r="AI106"/>
  <c r="AI157" s="1"/>
  <c r="AH106"/>
  <c r="AH157" s="1"/>
  <c r="AG106"/>
  <c r="AG157" s="1"/>
  <c r="AF106"/>
  <c r="AF157" s="1"/>
  <c r="AE106"/>
  <c r="AE157" s="1"/>
  <c r="AD106"/>
  <c r="AD157" s="1"/>
  <c r="AC106"/>
  <c r="AC157" s="1"/>
  <c r="AB106"/>
  <c r="AB157" s="1"/>
  <c r="AA106"/>
  <c r="AA157" s="1"/>
  <c r="Z106"/>
  <c r="Z157" s="1"/>
  <c r="Y106"/>
  <c r="Y157" s="1"/>
  <c r="X106"/>
  <c r="X157" s="1"/>
  <c r="W106"/>
  <c r="W157" s="1"/>
  <c r="V106"/>
  <c r="V157" s="1"/>
  <c r="U106"/>
  <c r="U157" s="1"/>
  <c r="T106"/>
  <c r="T157" s="1"/>
  <c r="S106"/>
  <c r="S157" s="1"/>
  <c r="R106"/>
  <c r="R157" s="1"/>
  <c r="Q106"/>
  <c r="Q157" s="1"/>
  <c r="P106"/>
  <c r="P157" s="1"/>
  <c r="O106"/>
  <c r="O157" s="1"/>
  <c r="N106"/>
  <c r="N157" s="1"/>
  <c r="M106"/>
  <c r="M157" s="1"/>
  <c r="L106"/>
  <c r="L157" s="1"/>
  <c r="K106"/>
  <c r="K157" s="1"/>
  <c r="J106"/>
  <c r="J157" s="1"/>
  <c r="I106"/>
  <c r="I157" s="1"/>
  <c r="H106"/>
  <c r="G106"/>
  <c r="F106"/>
  <c r="E106"/>
  <c r="AL105"/>
  <c r="AK105"/>
  <c r="AL129" s="1"/>
  <c r="AJ105"/>
  <c r="AK129" s="1"/>
  <c r="AI105"/>
  <c r="AJ129" s="1"/>
  <c r="AH105"/>
  <c r="AI129" s="1"/>
  <c r="AG105"/>
  <c r="AH129" s="1"/>
  <c r="AF105"/>
  <c r="AG129" s="1"/>
  <c r="AE105"/>
  <c r="AF129" s="1"/>
  <c r="AD105"/>
  <c r="AE129" s="1"/>
  <c r="AC105"/>
  <c r="AD129" s="1"/>
  <c r="AB105"/>
  <c r="AC129" s="1"/>
  <c r="AA105"/>
  <c r="AB129" s="1"/>
  <c r="Z105"/>
  <c r="AA129" s="1"/>
  <c r="Y105"/>
  <c r="Z129" s="1"/>
  <c r="X105"/>
  <c r="Y129" s="1"/>
  <c r="W105"/>
  <c r="X129" s="1"/>
  <c r="V105"/>
  <c r="W129" s="1"/>
  <c r="U105"/>
  <c r="V129" s="1"/>
  <c r="T105"/>
  <c r="U129" s="1"/>
  <c r="S105"/>
  <c r="T129" s="1"/>
  <c r="R105"/>
  <c r="S129" s="1"/>
  <c r="Q105"/>
  <c r="R129" s="1"/>
  <c r="P105"/>
  <c r="Q129" s="1"/>
  <c r="O105"/>
  <c r="P129" s="1"/>
  <c r="N105"/>
  <c r="O129" s="1"/>
  <c r="M105"/>
  <c r="N129" s="1"/>
  <c r="L105"/>
  <c r="M129" s="1"/>
  <c r="K105"/>
  <c r="L129" s="1"/>
  <c r="J105"/>
  <c r="K129" s="1"/>
  <c r="I105"/>
  <c r="J129" s="1"/>
  <c r="H105"/>
  <c r="I129" s="1"/>
  <c r="G105"/>
  <c r="F105"/>
  <c r="E105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AL99"/>
  <c r="AL156" s="1"/>
  <c r="AK99"/>
  <c r="AK156" s="1"/>
  <c r="AJ99"/>
  <c r="AJ156" s="1"/>
  <c r="AI99"/>
  <c r="AI156" s="1"/>
  <c r="AH99"/>
  <c r="AH156" s="1"/>
  <c r="AG99"/>
  <c r="AG156" s="1"/>
  <c r="AF99"/>
  <c r="AF156" s="1"/>
  <c r="AE99"/>
  <c r="AE156" s="1"/>
  <c r="AD99"/>
  <c r="AD156" s="1"/>
  <c r="AC99"/>
  <c r="AC156" s="1"/>
  <c r="AB99"/>
  <c r="AB156" s="1"/>
  <c r="AA99"/>
  <c r="AA156" s="1"/>
  <c r="Z99"/>
  <c r="Z156" s="1"/>
  <c r="Y99"/>
  <c r="Y156" s="1"/>
  <c r="X99"/>
  <c r="X156" s="1"/>
  <c r="W99"/>
  <c r="W156" s="1"/>
  <c r="V99"/>
  <c r="V156" s="1"/>
  <c r="U99"/>
  <c r="U156" s="1"/>
  <c r="T99"/>
  <c r="T156" s="1"/>
  <c r="S99"/>
  <c r="S156" s="1"/>
  <c r="R99"/>
  <c r="R156" s="1"/>
  <c r="Q99"/>
  <c r="Q156" s="1"/>
  <c r="P99"/>
  <c r="P156" s="1"/>
  <c r="O99"/>
  <c r="O156" s="1"/>
  <c r="N99"/>
  <c r="N156" s="1"/>
  <c r="M99"/>
  <c r="M156" s="1"/>
  <c r="L99"/>
  <c r="L156" s="1"/>
  <c r="K99"/>
  <c r="K156" s="1"/>
  <c r="J99"/>
  <c r="J156" s="1"/>
  <c r="I99"/>
  <c r="I156" s="1"/>
  <c r="H99"/>
  <c r="G99"/>
  <c r="F99"/>
  <c r="E99"/>
  <c r="AL98"/>
  <c r="AL126" s="1"/>
  <c r="AK98"/>
  <c r="AK126" s="1"/>
  <c r="AJ98"/>
  <c r="AJ126" s="1"/>
  <c r="AI98"/>
  <c r="AI126" s="1"/>
  <c r="AH98"/>
  <c r="AH126" s="1"/>
  <c r="AG98"/>
  <c r="AG126" s="1"/>
  <c r="AF98"/>
  <c r="AF126" s="1"/>
  <c r="AE98"/>
  <c r="AE126" s="1"/>
  <c r="AD98"/>
  <c r="AD126" s="1"/>
  <c r="AC98"/>
  <c r="AC126" s="1"/>
  <c r="AB98"/>
  <c r="AB126" s="1"/>
  <c r="AA98"/>
  <c r="AA126" s="1"/>
  <c r="Z98"/>
  <c r="Z126" s="1"/>
  <c r="Y98"/>
  <c r="Y126" s="1"/>
  <c r="X98"/>
  <c r="X126" s="1"/>
  <c r="W98"/>
  <c r="W126" s="1"/>
  <c r="V98"/>
  <c r="V126" s="1"/>
  <c r="U98"/>
  <c r="U126" s="1"/>
  <c r="T98"/>
  <c r="T126" s="1"/>
  <c r="S98"/>
  <c r="S126" s="1"/>
  <c r="R98"/>
  <c r="R126" s="1"/>
  <c r="Q98"/>
  <c r="Q126" s="1"/>
  <c r="P98"/>
  <c r="P126" s="1"/>
  <c r="O98"/>
  <c r="O126" s="1"/>
  <c r="N98"/>
  <c r="N126" s="1"/>
  <c r="M98"/>
  <c r="M126" s="1"/>
  <c r="L98"/>
  <c r="L126" s="1"/>
  <c r="K98"/>
  <c r="K126" s="1"/>
  <c r="J98"/>
  <c r="I98"/>
  <c r="H98"/>
  <c r="G98"/>
  <c r="F98"/>
  <c r="E98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AL96"/>
  <c r="AL155" s="1"/>
  <c r="AK96"/>
  <c r="AL189" s="1"/>
  <c r="AJ96"/>
  <c r="AK189" s="1"/>
  <c r="AI96"/>
  <c r="AJ189" s="1"/>
  <c r="AH96"/>
  <c r="AI189" s="1"/>
  <c r="AG96"/>
  <c r="AH189" s="1"/>
  <c r="AF96"/>
  <c r="AG189" s="1"/>
  <c r="AE96"/>
  <c r="AF189" s="1"/>
  <c r="AD96"/>
  <c r="AE189" s="1"/>
  <c r="AC96"/>
  <c r="AD189" s="1"/>
  <c r="AB96"/>
  <c r="AC189" s="1"/>
  <c r="AA96"/>
  <c r="AB189" s="1"/>
  <c r="Z96"/>
  <c r="AA189" s="1"/>
  <c r="Y96"/>
  <c r="Z189" s="1"/>
  <c r="X96"/>
  <c r="Y189" s="1"/>
  <c r="W96"/>
  <c r="X189" s="1"/>
  <c r="V96"/>
  <c r="W189" s="1"/>
  <c r="U96"/>
  <c r="V189" s="1"/>
  <c r="T96"/>
  <c r="U189" s="1"/>
  <c r="S96"/>
  <c r="T189" s="1"/>
  <c r="R96"/>
  <c r="S189" s="1"/>
  <c r="Q96"/>
  <c r="R189" s="1"/>
  <c r="P96"/>
  <c r="Q189" s="1"/>
  <c r="O96"/>
  <c r="P189" s="1"/>
  <c r="N96"/>
  <c r="O189" s="1"/>
  <c r="M96"/>
  <c r="N189" s="1"/>
  <c r="L96"/>
  <c r="M189" s="1"/>
  <c r="K96"/>
  <c r="L189" s="1"/>
  <c r="J96"/>
  <c r="K189" s="1"/>
  <c r="I96"/>
  <c r="J189" s="1"/>
  <c r="H96"/>
  <c r="I189" s="1"/>
  <c r="G96"/>
  <c r="F96"/>
  <c r="H189" s="1"/>
  <c r="E96"/>
  <c r="F189" s="1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AL93"/>
  <c r="AL154" s="1"/>
  <c r="AK93"/>
  <c r="AK154" s="1"/>
  <c r="AJ93"/>
  <c r="AJ154" s="1"/>
  <c r="AI93"/>
  <c r="AI154" s="1"/>
  <c r="AH93"/>
  <c r="AH154" s="1"/>
  <c r="AG93"/>
  <c r="AG154" s="1"/>
  <c r="AF93"/>
  <c r="AF154" s="1"/>
  <c r="AE93"/>
  <c r="AE154" s="1"/>
  <c r="AD93"/>
  <c r="AD154" s="1"/>
  <c r="AC93"/>
  <c r="AC154" s="1"/>
  <c r="AB93"/>
  <c r="AB154" s="1"/>
  <c r="AA93"/>
  <c r="AA154" s="1"/>
  <c r="Z93"/>
  <c r="Z154" s="1"/>
  <c r="Y93"/>
  <c r="Y154" s="1"/>
  <c r="X93"/>
  <c r="X154" s="1"/>
  <c r="W93"/>
  <c r="W154" s="1"/>
  <c r="V93"/>
  <c r="V154" s="1"/>
  <c r="U93"/>
  <c r="U154" s="1"/>
  <c r="T93"/>
  <c r="T154" s="1"/>
  <c r="S93"/>
  <c r="S154" s="1"/>
  <c r="R93"/>
  <c r="R154" s="1"/>
  <c r="Q93"/>
  <c r="Q154" s="1"/>
  <c r="P93"/>
  <c r="P154" s="1"/>
  <c r="O93"/>
  <c r="O154" s="1"/>
  <c r="N93"/>
  <c r="N154" s="1"/>
  <c r="M93"/>
  <c r="M154" s="1"/>
  <c r="L93"/>
  <c r="L154" s="1"/>
  <c r="K93"/>
  <c r="K154" s="1"/>
  <c r="J93"/>
  <c r="J154" s="1"/>
  <c r="I93"/>
  <c r="I154" s="1"/>
  <c r="H93"/>
  <c r="G93"/>
  <c r="F93"/>
  <c r="E93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AL91"/>
  <c r="AL153" s="1"/>
  <c r="AK91"/>
  <c r="AK153" s="1"/>
  <c r="AJ91"/>
  <c r="AJ153" s="1"/>
  <c r="AI91"/>
  <c r="AI153" s="1"/>
  <c r="AH91"/>
  <c r="AH153" s="1"/>
  <c r="AG91"/>
  <c r="AG153" s="1"/>
  <c r="AF91"/>
  <c r="AF153" s="1"/>
  <c r="AE91"/>
  <c r="AE153" s="1"/>
  <c r="AD91"/>
  <c r="AD153" s="1"/>
  <c r="AC91"/>
  <c r="AC153" s="1"/>
  <c r="AB91"/>
  <c r="AB153" s="1"/>
  <c r="AA91"/>
  <c r="AA153" s="1"/>
  <c r="Z91"/>
  <c r="Z153" s="1"/>
  <c r="Y91"/>
  <c r="Y153" s="1"/>
  <c r="X91"/>
  <c r="X153" s="1"/>
  <c r="W91"/>
  <c r="W153" s="1"/>
  <c r="V91"/>
  <c r="V153" s="1"/>
  <c r="U91"/>
  <c r="U153" s="1"/>
  <c r="T91"/>
  <c r="T153" s="1"/>
  <c r="S91"/>
  <c r="S153" s="1"/>
  <c r="R91"/>
  <c r="R153" s="1"/>
  <c r="Q91"/>
  <c r="Q153" s="1"/>
  <c r="P91"/>
  <c r="P153" s="1"/>
  <c r="O91"/>
  <c r="O153" s="1"/>
  <c r="N91"/>
  <c r="N153" s="1"/>
  <c r="M91"/>
  <c r="M153" s="1"/>
  <c r="L91"/>
  <c r="L153" s="1"/>
  <c r="K91"/>
  <c r="K153" s="1"/>
  <c r="J91"/>
  <c r="J153" s="1"/>
  <c r="I91"/>
  <c r="I153" s="1"/>
  <c r="H91"/>
  <c r="G91"/>
  <c r="F91"/>
  <c r="E91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AL89"/>
  <c r="AL152" s="1"/>
  <c r="AK89"/>
  <c r="AK152" s="1"/>
  <c r="AJ89"/>
  <c r="AJ152" s="1"/>
  <c r="AI89"/>
  <c r="AI152" s="1"/>
  <c r="AH89"/>
  <c r="AH152" s="1"/>
  <c r="AG89"/>
  <c r="AG152" s="1"/>
  <c r="AF89"/>
  <c r="AF152" s="1"/>
  <c r="AE89"/>
  <c r="AE152" s="1"/>
  <c r="AD89"/>
  <c r="AD152" s="1"/>
  <c r="AC89"/>
  <c r="AC152" s="1"/>
  <c r="AB89"/>
  <c r="AB152" s="1"/>
  <c r="AA89"/>
  <c r="AA152" s="1"/>
  <c r="Z89"/>
  <c r="Z152" s="1"/>
  <c r="Y89"/>
  <c r="Y152" s="1"/>
  <c r="X89"/>
  <c r="X152" s="1"/>
  <c r="W89"/>
  <c r="W152" s="1"/>
  <c r="V89"/>
  <c r="V152" s="1"/>
  <c r="U89"/>
  <c r="U152" s="1"/>
  <c r="T89"/>
  <c r="T152" s="1"/>
  <c r="S89"/>
  <c r="S152" s="1"/>
  <c r="R89"/>
  <c r="R152" s="1"/>
  <c r="Q89"/>
  <c r="Q152" s="1"/>
  <c r="P89"/>
  <c r="P152" s="1"/>
  <c r="O89"/>
  <c r="O152" s="1"/>
  <c r="N89"/>
  <c r="N152" s="1"/>
  <c r="M89"/>
  <c r="M152" s="1"/>
  <c r="L89"/>
  <c r="L152" s="1"/>
  <c r="K89"/>
  <c r="K152" s="1"/>
  <c r="J89"/>
  <c r="J152" s="1"/>
  <c r="I89"/>
  <c r="I152" s="1"/>
  <c r="H89"/>
  <c r="G89"/>
  <c r="F89"/>
  <c r="E89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AL87"/>
  <c r="AL151" s="1"/>
  <c r="AK87"/>
  <c r="AK151" s="1"/>
  <c r="AJ87"/>
  <c r="AJ151" s="1"/>
  <c r="AI87"/>
  <c r="AI151" s="1"/>
  <c r="AH87"/>
  <c r="AH151" s="1"/>
  <c r="AG87"/>
  <c r="AG151" s="1"/>
  <c r="AF87"/>
  <c r="AF151" s="1"/>
  <c r="AE87"/>
  <c r="AE151" s="1"/>
  <c r="AD87"/>
  <c r="AD151" s="1"/>
  <c r="AC87"/>
  <c r="AC151" s="1"/>
  <c r="AB87"/>
  <c r="AB151" s="1"/>
  <c r="AA87"/>
  <c r="AA151" s="1"/>
  <c r="Z87"/>
  <c r="Z151" s="1"/>
  <c r="Y87"/>
  <c r="Y151" s="1"/>
  <c r="X87"/>
  <c r="X151" s="1"/>
  <c r="W87"/>
  <c r="W151" s="1"/>
  <c r="V87"/>
  <c r="V151" s="1"/>
  <c r="U87"/>
  <c r="U151" s="1"/>
  <c r="T87"/>
  <c r="T151" s="1"/>
  <c r="S87"/>
  <c r="S151" s="1"/>
  <c r="R87"/>
  <c r="R151" s="1"/>
  <c r="Q87"/>
  <c r="Q151" s="1"/>
  <c r="P87"/>
  <c r="P151" s="1"/>
  <c r="O87"/>
  <c r="O151" s="1"/>
  <c r="N87"/>
  <c r="N151" s="1"/>
  <c r="M87"/>
  <c r="M151" s="1"/>
  <c r="L87"/>
  <c r="L151" s="1"/>
  <c r="K87"/>
  <c r="K151" s="1"/>
  <c r="J87"/>
  <c r="J151" s="1"/>
  <c r="I87"/>
  <c r="I151" s="1"/>
  <c r="H87"/>
  <c r="G87"/>
  <c r="F87"/>
  <c r="E87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AL84"/>
  <c r="AL150" s="1"/>
  <c r="AK84"/>
  <c r="AK150" s="1"/>
  <c r="AJ84"/>
  <c r="AJ150" s="1"/>
  <c r="AI84"/>
  <c r="AI150" s="1"/>
  <c r="AH84"/>
  <c r="AH150" s="1"/>
  <c r="AG84"/>
  <c r="AG150" s="1"/>
  <c r="AF84"/>
  <c r="AF150" s="1"/>
  <c r="AE84"/>
  <c r="AE150" s="1"/>
  <c r="AD84"/>
  <c r="AD150" s="1"/>
  <c r="AC84"/>
  <c r="AC150" s="1"/>
  <c r="AB84"/>
  <c r="AB150" s="1"/>
  <c r="AA84"/>
  <c r="AA150" s="1"/>
  <c r="Z84"/>
  <c r="Z150" s="1"/>
  <c r="Y84"/>
  <c r="Y150" s="1"/>
  <c r="X84"/>
  <c r="X150" s="1"/>
  <c r="W84"/>
  <c r="W150" s="1"/>
  <c r="V84"/>
  <c r="V150" s="1"/>
  <c r="U84"/>
  <c r="U150" s="1"/>
  <c r="T84"/>
  <c r="T150" s="1"/>
  <c r="S84"/>
  <c r="S150" s="1"/>
  <c r="R84"/>
  <c r="R150" s="1"/>
  <c r="Q84"/>
  <c r="Q150" s="1"/>
  <c r="P84"/>
  <c r="P150" s="1"/>
  <c r="O84"/>
  <c r="O150" s="1"/>
  <c r="N84"/>
  <c r="N150" s="1"/>
  <c r="M84"/>
  <c r="M150" s="1"/>
  <c r="L84"/>
  <c r="L150" s="1"/>
  <c r="K84"/>
  <c r="K150" s="1"/>
  <c r="J84"/>
  <c r="J150" s="1"/>
  <c r="I84"/>
  <c r="I150" s="1"/>
  <c r="H84"/>
  <c r="G84"/>
  <c r="F84"/>
  <c r="E84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AL81"/>
  <c r="AL148" s="1"/>
  <c r="AK81"/>
  <c r="AK148" s="1"/>
  <c r="AJ81"/>
  <c r="AJ148" s="1"/>
  <c r="AI81"/>
  <c r="AI148" s="1"/>
  <c r="AH81"/>
  <c r="AH148" s="1"/>
  <c r="AG81"/>
  <c r="AG148" s="1"/>
  <c r="AF81"/>
  <c r="AF148" s="1"/>
  <c r="AE81"/>
  <c r="AE148" s="1"/>
  <c r="AD81"/>
  <c r="AD148" s="1"/>
  <c r="AC81"/>
  <c r="AC148" s="1"/>
  <c r="AB81"/>
  <c r="AB148" s="1"/>
  <c r="AA81"/>
  <c r="AA148" s="1"/>
  <c r="Z81"/>
  <c r="Z148" s="1"/>
  <c r="Y81"/>
  <c r="Y148" s="1"/>
  <c r="X81"/>
  <c r="X148" s="1"/>
  <c r="W81"/>
  <c r="W148" s="1"/>
  <c r="V81"/>
  <c r="V148" s="1"/>
  <c r="U81"/>
  <c r="U148" s="1"/>
  <c r="T81"/>
  <c r="T148" s="1"/>
  <c r="S81"/>
  <c r="S148" s="1"/>
  <c r="R81"/>
  <c r="R148" s="1"/>
  <c r="Q81"/>
  <c r="Q148" s="1"/>
  <c r="P81"/>
  <c r="P148" s="1"/>
  <c r="O81"/>
  <c r="O148" s="1"/>
  <c r="N81"/>
  <c r="N148" s="1"/>
  <c r="M81"/>
  <c r="M148" s="1"/>
  <c r="L81"/>
  <c r="L148" s="1"/>
  <c r="K81"/>
  <c r="K148" s="1"/>
  <c r="J81"/>
  <c r="J148" s="1"/>
  <c r="I81"/>
  <c r="I148" s="1"/>
  <c r="H81"/>
  <c r="G81"/>
  <c r="F81"/>
  <c r="E81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AL79"/>
  <c r="AL146" s="1"/>
  <c r="AK79"/>
  <c r="AK146" s="1"/>
  <c r="AJ79"/>
  <c r="AJ146" s="1"/>
  <c r="AI79"/>
  <c r="AI146" s="1"/>
  <c r="AH79"/>
  <c r="AH146" s="1"/>
  <c r="AG79"/>
  <c r="AG146" s="1"/>
  <c r="AF79"/>
  <c r="AF146" s="1"/>
  <c r="AE79"/>
  <c r="AE146" s="1"/>
  <c r="AD79"/>
  <c r="AD146" s="1"/>
  <c r="AC79"/>
  <c r="AC146" s="1"/>
  <c r="AB79"/>
  <c r="AB146" s="1"/>
  <c r="AA79"/>
  <c r="AA146" s="1"/>
  <c r="Z79"/>
  <c r="Z146" s="1"/>
  <c r="Y79"/>
  <c r="Y146" s="1"/>
  <c r="X79"/>
  <c r="X146" s="1"/>
  <c r="W79"/>
  <c r="W146" s="1"/>
  <c r="V79"/>
  <c r="V146" s="1"/>
  <c r="U79"/>
  <c r="U146" s="1"/>
  <c r="T79"/>
  <c r="T146" s="1"/>
  <c r="S79"/>
  <c r="S146" s="1"/>
  <c r="R79"/>
  <c r="R146" s="1"/>
  <c r="Q79"/>
  <c r="Q146" s="1"/>
  <c r="P79"/>
  <c r="P146" s="1"/>
  <c r="O79"/>
  <c r="O146" s="1"/>
  <c r="N79"/>
  <c r="N146" s="1"/>
  <c r="M79"/>
  <c r="M146" s="1"/>
  <c r="L79"/>
  <c r="L146" s="1"/>
  <c r="K79"/>
  <c r="K146" s="1"/>
  <c r="J79"/>
  <c r="J146" s="1"/>
  <c r="I79"/>
  <c r="I146" s="1"/>
  <c r="H79"/>
  <c r="G79"/>
  <c r="F79"/>
  <c r="E79"/>
  <c r="AL78"/>
  <c r="AL145" s="1"/>
  <c r="AK78"/>
  <c r="AK145" s="1"/>
  <c r="AJ78"/>
  <c r="AJ145" s="1"/>
  <c r="AI78"/>
  <c r="AI145" s="1"/>
  <c r="AH78"/>
  <c r="AH145" s="1"/>
  <c r="AG78"/>
  <c r="AG145" s="1"/>
  <c r="AF78"/>
  <c r="AF145" s="1"/>
  <c r="AE78"/>
  <c r="AE145" s="1"/>
  <c r="AD78"/>
  <c r="AD145" s="1"/>
  <c r="AC78"/>
  <c r="AC145" s="1"/>
  <c r="AB78"/>
  <c r="AB145" s="1"/>
  <c r="AA78"/>
  <c r="AA145" s="1"/>
  <c r="Z78"/>
  <c r="Z145" s="1"/>
  <c r="Y78"/>
  <c r="Y145" s="1"/>
  <c r="X78"/>
  <c r="X145" s="1"/>
  <c r="W78"/>
  <c r="W145" s="1"/>
  <c r="V78"/>
  <c r="V145" s="1"/>
  <c r="U78"/>
  <c r="U145" s="1"/>
  <c r="T78"/>
  <c r="T145" s="1"/>
  <c r="S78"/>
  <c r="S145" s="1"/>
  <c r="R78"/>
  <c r="R145" s="1"/>
  <c r="Q78"/>
  <c r="Q145" s="1"/>
  <c r="P78"/>
  <c r="P145" s="1"/>
  <c r="O78"/>
  <c r="O145" s="1"/>
  <c r="N78"/>
  <c r="N145" s="1"/>
  <c r="M78"/>
  <c r="M145" s="1"/>
  <c r="L78"/>
  <c r="L145" s="1"/>
  <c r="K78"/>
  <c r="K145" s="1"/>
  <c r="J78"/>
  <c r="J145" s="1"/>
  <c r="I78"/>
  <c r="I145" s="1"/>
  <c r="H78"/>
  <c r="G78"/>
  <c r="F78"/>
  <c r="E78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AL76"/>
  <c r="AL144" s="1"/>
  <c r="AK76"/>
  <c r="AK144" s="1"/>
  <c r="AJ76"/>
  <c r="AJ144" s="1"/>
  <c r="AI76"/>
  <c r="AI144" s="1"/>
  <c r="AH76"/>
  <c r="AH144" s="1"/>
  <c r="AG76"/>
  <c r="AG144" s="1"/>
  <c r="AF76"/>
  <c r="AF144" s="1"/>
  <c r="AE76"/>
  <c r="AE144" s="1"/>
  <c r="AD76"/>
  <c r="AD144" s="1"/>
  <c r="AC76"/>
  <c r="AC144" s="1"/>
  <c r="AB76"/>
  <c r="AB144" s="1"/>
  <c r="AA76"/>
  <c r="AA144" s="1"/>
  <c r="Z76"/>
  <c r="Z144" s="1"/>
  <c r="Y76"/>
  <c r="Y144" s="1"/>
  <c r="X76"/>
  <c r="X144" s="1"/>
  <c r="W76"/>
  <c r="W144" s="1"/>
  <c r="V76"/>
  <c r="V144" s="1"/>
  <c r="U76"/>
  <c r="U144" s="1"/>
  <c r="T76"/>
  <c r="T144" s="1"/>
  <c r="S76"/>
  <c r="S144" s="1"/>
  <c r="R76"/>
  <c r="R144" s="1"/>
  <c r="Q76"/>
  <c r="Q144" s="1"/>
  <c r="P76"/>
  <c r="P144" s="1"/>
  <c r="O76"/>
  <c r="O144" s="1"/>
  <c r="N76"/>
  <c r="N144" s="1"/>
  <c r="M76"/>
  <c r="M144" s="1"/>
  <c r="L76"/>
  <c r="L144" s="1"/>
  <c r="K76"/>
  <c r="K144" s="1"/>
  <c r="J76"/>
  <c r="J144" s="1"/>
  <c r="I76"/>
  <c r="I144" s="1"/>
  <c r="H76"/>
  <c r="G76"/>
  <c r="F76"/>
  <c r="E76"/>
  <c r="AL75"/>
  <c r="AL143" s="1"/>
  <c r="AK75"/>
  <c r="AK143" s="1"/>
  <c r="AJ75"/>
  <c r="AJ143" s="1"/>
  <c r="AI75"/>
  <c r="AI143" s="1"/>
  <c r="AH75"/>
  <c r="AH143" s="1"/>
  <c r="AG75"/>
  <c r="AG143" s="1"/>
  <c r="AF75"/>
  <c r="AF143" s="1"/>
  <c r="AE75"/>
  <c r="AE143" s="1"/>
  <c r="AD75"/>
  <c r="AD143" s="1"/>
  <c r="AC75"/>
  <c r="AC143" s="1"/>
  <c r="AB75"/>
  <c r="AB143" s="1"/>
  <c r="AA75"/>
  <c r="AA143" s="1"/>
  <c r="Z75"/>
  <c r="Z143" s="1"/>
  <c r="Y75"/>
  <c r="Y143" s="1"/>
  <c r="X75"/>
  <c r="X143" s="1"/>
  <c r="W75"/>
  <c r="W143" s="1"/>
  <c r="V75"/>
  <c r="V143" s="1"/>
  <c r="U75"/>
  <c r="U143" s="1"/>
  <c r="T75"/>
  <c r="T143" s="1"/>
  <c r="S75"/>
  <c r="S143" s="1"/>
  <c r="R75"/>
  <c r="R143" s="1"/>
  <c r="Q75"/>
  <c r="Q143" s="1"/>
  <c r="P75"/>
  <c r="P143" s="1"/>
  <c r="O75"/>
  <c r="O143" s="1"/>
  <c r="N75"/>
  <c r="N143" s="1"/>
  <c r="M75"/>
  <c r="M143" s="1"/>
  <c r="L75"/>
  <c r="L143" s="1"/>
  <c r="K75"/>
  <c r="K143" s="1"/>
  <c r="J75"/>
  <c r="J143" s="1"/>
  <c r="I75"/>
  <c r="I143" s="1"/>
  <c r="H75"/>
  <c r="G75"/>
  <c r="F75"/>
  <c r="E75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AL66"/>
  <c r="AL240" s="1"/>
  <c r="AK66"/>
  <c r="AK240" s="1"/>
  <c r="AJ66"/>
  <c r="AJ240" s="1"/>
  <c r="AI66"/>
  <c r="AI240" s="1"/>
  <c r="AH66"/>
  <c r="AH240" s="1"/>
  <c r="AG66"/>
  <c r="AG240" s="1"/>
  <c r="AF66"/>
  <c r="AF240" s="1"/>
  <c r="AE66"/>
  <c r="AE240" s="1"/>
  <c r="AD66"/>
  <c r="AD240" s="1"/>
  <c r="AC66"/>
  <c r="AC240" s="1"/>
  <c r="AB66"/>
  <c r="AB240" s="1"/>
  <c r="AA66"/>
  <c r="AA240" s="1"/>
  <c r="Z66"/>
  <c r="Z240" s="1"/>
  <c r="Y66"/>
  <c r="Y240" s="1"/>
  <c r="X66"/>
  <c r="X240" s="1"/>
  <c r="W66"/>
  <c r="W240" s="1"/>
  <c r="V66"/>
  <c r="V240" s="1"/>
  <c r="U66"/>
  <c r="U240" s="1"/>
  <c r="T66"/>
  <c r="T240" s="1"/>
  <c r="S66"/>
  <c r="S240" s="1"/>
  <c r="R66"/>
  <c r="R240" s="1"/>
  <c r="Q66"/>
  <c r="Q240" s="1"/>
  <c r="P66"/>
  <c r="P240" s="1"/>
  <c r="O66"/>
  <c r="O240" s="1"/>
  <c r="N66"/>
  <c r="N240" s="1"/>
  <c r="M66"/>
  <c r="M240" s="1"/>
  <c r="L66"/>
  <c r="L240" s="1"/>
  <c r="K66"/>
  <c r="K240" s="1"/>
  <c r="J66"/>
  <c r="J240" s="1"/>
  <c r="I66"/>
  <c r="I240" s="1"/>
  <c r="H66"/>
  <c r="H240" s="1"/>
  <c r="G66"/>
  <c r="G240" s="1"/>
  <c r="F66"/>
  <c r="F240" s="1"/>
  <c r="E66"/>
  <c r="E240" s="1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AL63"/>
  <c r="AL142" s="1"/>
  <c r="AK63"/>
  <c r="AK142" s="1"/>
  <c r="AJ63"/>
  <c r="AJ142" s="1"/>
  <c r="AI63"/>
  <c r="AI142" s="1"/>
  <c r="AH63"/>
  <c r="AH142" s="1"/>
  <c r="AG63"/>
  <c r="AG142" s="1"/>
  <c r="AF63"/>
  <c r="AF142" s="1"/>
  <c r="AE63"/>
  <c r="AE142" s="1"/>
  <c r="AD63"/>
  <c r="AD142" s="1"/>
  <c r="AC63"/>
  <c r="AC142" s="1"/>
  <c r="AB63"/>
  <c r="AB142" s="1"/>
  <c r="AA63"/>
  <c r="AA142" s="1"/>
  <c r="Z63"/>
  <c r="Z142" s="1"/>
  <c r="Y63"/>
  <c r="Y142" s="1"/>
  <c r="X63"/>
  <c r="X142" s="1"/>
  <c r="W63"/>
  <c r="W142" s="1"/>
  <c r="V63"/>
  <c r="V142" s="1"/>
  <c r="U63"/>
  <c r="U142" s="1"/>
  <c r="T63"/>
  <c r="T142" s="1"/>
  <c r="S63"/>
  <c r="S142" s="1"/>
  <c r="R63"/>
  <c r="R142" s="1"/>
  <c r="Q63"/>
  <c r="Q142" s="1"/>
  <c r="P63"/>
  <c r="P142" s="1"/>
  <c r="O63"/>
  <c r="O142" s="1"/>
  <c r="N63"/>
  <c r="N142" s="1"/>
  <c r="M63"/>
  <c r="M142" s="1"/>
  <c r="L63"/>
  <c r="L142" s="1"/>
  <c r="K63"/>
  <c r="K142" s="1"/>
  <c r="J63"/>
  <c r="J142" s="1"/>
  <c r="I63"/>
  <c r="I142" s="1"/>
  <c r="H63"/>
  <c r="G63"/>
  <c r="F63"/>
  <c r="E63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AL57"/>
  <c r="AL62" s="1"/>
  <c r="AK57"/>
  <c r="AK62" s="1"/>
  <c r="AJ57"/>
  <c r="AJ62" s="1"/>
  <c r="AI57"/>
  <c r="AI62" s="1"/>
  <c r="AH57"/>
  <c r="AH62" s="1"/>
  <c r="AG57"/>
  <c r="AG62" s="1"/>
  <c r="AF57"/>
  <c r="AF62" s="1"/>
  <c r="AE57"/>
  <c r="AE62" s="1"/>
  <c r="AD57"/>
  <c r="AD62" s="1"/>
  <c r="AC57"/>
  <c r="AC62" s="1"/>
  <c r="AB57"/>
  <c r="AB62" s="1"/>
  <c r="AA57"/>
  <c r="AA62" s="1"/>
  <c r="Z57"/>
  <c r="Z62" s="1"/>
  <c r="Y57"/>
  <c r="Y62" s="1"/>
  <c r="X57"/>
  <c r="X62" s="1"/>
  <c r="W57"/>
  <c r="W62" s="1"/>
  <c r="V57"/>
  <c r="V62" s="1"/>
  <c r="U57"/>
  <c r="U62" s="1"/>
  <c r="T57"/>
  <c r="T62" s="1"/>
  <c r="S57"/>
  <c r="S62" s="1"/>
  <c r="R57"/>
  <c r="R62" s="1"/>
  <c r="Q57"/>
  <c r="Q62" s="1"/>
  <c r="P57"/>
  <c r="P62" s="1"/>
  <c r="O57"/>
  <c r="O62" s="1"/>
  <c r="N57"/>
  <c r="N62" s="1"/>
  <c r="M57"/>
  <c r="M62" s="1"/>
  <c r="L57"/>
  <c r="L62" s="1"/>
  <c r="K57"/>
  <c r="K62" s="1"/>
  <c r="J57"/>
  <c r="J62" s="1"/>
  <c r="I57"/>
  <c r="I62" s="1"/>
  <c r="H57"/>
  <c r="G57"/>
  <c r="F57"/>
  <c r="E57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AL49"/>
  <c r="AL181" s="1"/>
  <c r="AK49"/>
  <c r="AK181" s="1"/>
  <c r="AJ49"/>
  <c r="AJ181" s="1"/>
  <c r="AI49"/>
  <c r="AI181" s="1"/>
  <c r="AH49"/>
  <c r="AH181" s="1"/>
  <c r="AG49"/>
  <c r="AG181" s="1"/>
  <c r="AF49"/>
  <c r="AF181" s="1"/>
  <c r="AE49"/>
  <c r="AE181" s="1"/>
  <c r="AD49"/>
  <c r="AD181" s="1"/>
  <c r="AC49"/>
  <c r="AC181" s="1"/>
  <c r="AB49"/>
  <c r="AB181" s="1"/>
  <c r="AA49"/>
  <c r="AA181" s="1"/>
  <c r="Z49"/>
  <c r="Z181" s="1"/>
  <c r="Y49"/>
  <c r="Y181" s="1"/>
  <c r="X49"/>
  <c r="X181" s="1"/>
  <c r="W49"/>
  <c r="W181" s="1"/>
  <c r="V49"/>
  <c r="V181" s="1"/>
  <c r="U49"/>
  <c r="U181" s="1"/>
  <c r="T49"/>
  <c r="T181" s="1"/>
  <c r="S49"/>
  <c r="S181" s="1"/>
  <c r="R49"/>
  <c r="R181" s="1"/>
  <c r="Q49"/>
  <c r="Q181" s="1"/>
  <c r="P49"/>
  <c r="P181" s="1"/>
  <c r="O49"/>
  <c r="O181" s="1"/>
  <c r="N49"/>
  <c r="N181" s="1"/>
  <c r="M49"/>
  <c r="M181" s="1"/>
  <c r="L49"/>
  <c r="L181" s="1"/>
  <c r="K49"/>
  <c r="K181" s="1"/>
  <c r="J49"/>
  <c r="J181" s="1"/>
  <c r="I49"/>
  <c r="I181" s="1"/>
  <c r="H49"/>
  <c r="G49"/>
  <c r="F49"/>
  <c r="E49"/>
  <c r="AL48"/>
  <c r="AL180" s="1"/>
  <c r="AK48"/>
  <c r="AL128" s="1"/>
  <c r="AJ48"/>
  <c r="AI48"/>
  <c r="AJ128" s="1"/>
  <c r="AH48"/>
  <c r="AG48"/>
  <c r="AH128" s="1"/>
  <c r="AF48"/>
  <c r="AE48"/>
  <c r="AF128" s="1"/>
  <c r="AD48"/>
  <c r="AC48"/>
  <c r="AD128" s="1"/>
  <c r="AB48"/>
  <c r="AA48"/>
  <c r="AB128" s="1"/>
  <c r="Z48"/>
  <c r="Y48"/>
  <c r="Z128" s="1"/>
  <c r="X48"/>
  <c r="W48"/>
  <c r="X128" s="1"/>
  <c r="V48"/>
  <c r="U48"/>
  <c r="V128" s="1"/>
  <c r="T48"/>
  <c r="S48"/>
  <c r="T128" s="1"/>
  <c r="R48"/>
  <c r="Q48"/>
  <c r="R128" s="1"/>
  <c r="P48"/>
  <c r="O48"/>
  <c r="P128" s="1"/>
  <c r="N48"/>
  <c r="M48"/>
  <c r="N128" s="1"/>
  <c r="L48"/>
  <c r="K48"/>
  <c r="L128" s="1"/>
  <c r="J48"/>
  <c r="I48"/>
  <c r="J128" s="1"/>
  <c r="H48"/>
  <c r="G48"/>
  <c r="F48"/>
  <c r="E48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AL42"/>
  <c r="AL178" s="1"/>
  <c r="AK42"/>
  <c r="AK178" s="1"/>
  <c r="AJ42"/>
  <c r="AJ178" s="1"/>
  <c r="AI42"/>
  <c r="AI178" s="1"/>
  <c r="AH42"/>
  <c r="AH178" s="1"/>
  <c r="AG42"/>
  <c r="AG178" s="1"/>
  <c r="AF42"/>
  <c r="AF178" s="1"/>
  <c r="AE42"/>
  <c r="AE178" s="1"/>
  <c r="AD42"/>
  <c r="AD178" s="1"/>
  <c r="AC42"/>
  <c r="AC178" s="1"/>
  <c r="AB42"/>
  <c r="AB178" s="1"/>
  <c r="AA42"/>
  <c r="AA178" s="1"/>
  <c r="Z42"/>
  <c r="Z178" s="1"/>
  <c r="Y42"/>
  <c r="Y178" s="1"/>
  <c r="X42"/>
  <c r="X178" s="1"/>
  <c r="W42"/>
  <c r="W178" s="1"/>
  <c r="V42"/>
  <c r="V178" s="1"/>
  <c r="U42"/>
  <c r="U178" s="1"/>
  <c r="T42"/>
  <c r="T178" s="1"/>
  <c r="S42"/>
  <c r="S178" s="1"/>
  <c r="R42"/>
  <c r="R178" s="1"/>
  <c r="Q42"/>
  <c r="Q178" s="1"/>
  <c r="P42"/>
  <c r="P178" s="1"/>
  <c r="O42"/>
  <c r="O178" s="1"/>
  <c r="N42"/>
  <c r="N178" s="1"/>
  <c r="M42"/>
  <c r="M178" s="1"/>
  <c r="L42"/>
  <c r="L178" s="1"/>
  <c r="K42"/>
  <c r="K178" s="1"/>
  <c r="J42"/>
  <c r="J178" s="1"/>
  <c r="I42"/>
  <c r="I178" s="1"/>
  <c r="H42"/>
  <c r="G42"/>
  <c r="F42"/>
  <c r="E42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AL39"/>
  <c r="AL175" s="1"/>
  <c r="AK39"/>
  <c r="AK175" s="1"/>
  <c r="AJ39"/>
  <c r="AJ175" s="1"/>
  <c r="AI39"/>
  <c r="AI175" s="1"/>
  <c r="AH39"/>
  <c r="AH175" s="1"/>
  <c r="AG39"/>
  <c r="AG175" s="1"/>
  <c r="AF39"/>
  <c r="AF175" s="1"/>
  <c r="AE39"/>
  <c r="AE175" s="1"/>
  <c r="AD39"/>
  <c r="AD175" s="1"/>
  <c r="AC39"/>
  <c r="AC175" s="1"/>
  <c r="AB39"/>
  <c r="AB175" s="1"/>
  <c r="AA39"/>
  <c r="AA175" s="1"/>
  <c r="Z39"/>
  <c r="Z175" s="1"/>
  <c r="Y39"/>
  <c r="Y175" s="1"/>
  <c r="X39"/>
  <c r="X175" s="1"/>
  <c r="W39"/>
  <c r="W175" s="1"/>
  <c r="V39"/>
  <c r="V175" s="1"/>
  <c r="U39"/>
  <c r="U175" s="1"/>
  <c r="T39"/>
  <c r="T175" s="1"/>
  <c r="S39"/>
  <c r="S175" s="1"/>
  <c r="R39"/>
  <c r="R175" s="1"/>
  <c r="Q39"/>
  <c r="Q175" s="1"/>
  <c r="P39"/>
  <c r="P175" s="1"/>
  <c r="O39"/>
  <c r="O175" s="1"/>
  <c r="N39"/>
  <c r="N175" s="1"/>
  <c r="M39"/>
  <c r="M175" s="1"/>
  <c r="L39"/>
  <c r="L175" s="1"/>
  <c r="K39"/>
  <c r="K175" s="1"/>
  <c r="J39"/>
  <c r="J175" s="1"/>
  <c r="I39"/>
  <c r="I175" s="1"/>
  <c r="H39"/>
  <c r="G39"/>
  <c r="F39"/>
  <c r="E39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AL37"/>
  <c r="AL174" s="1"/>
  <c r="AK37"/>
  <c r="AK174" s="1"/>
  <c r="AJ37"/>
  <c r="AJ174" s="1"/>
  <c r="AI37"/>
  <c r="AI174" s="1"/>
  <c r="AH37"/>
  <c r="AH174" s="1"/>
  <c r="AG37"/>
  <c r="AG174" s="1"/>
  <c r="AF37"/>
  <c r="AF174" s="1"/>
  <c r="AE37"/>
  <c r="AE174" s="1"/>
  <c r="AD37"/>
  <c r="AD174" s="1"/>
  <c r="AC37"/>
  <c r="AC174" s="1"/>
  <c r="AB37"/>
  <c r="AB174" s="1"/>
  <c r="AA37"/>
  <c r="AA174" s="1"/>
  <c r="Z37"/>
  <c r="Z174" s="1"/>
  <c r="Y37"/>
  <c r="Y174" s="1"/>
  <c r="X37"/>
  <c r="X174" s="1"/>
  <c r="W37"/>
  <c r="W174" s="1"/>
  <c r="V37"/>
  <c r="V174" s="1"/>
  <c r="U37"/>
  <c r="U174" s="1"/>
  <c r="T37"/>
  <c r="T174" s="1"/>
  <c r="S37"/>
  <c r="S174" s="1"/>
  <c r="R37"/>
  <c r="R174" s="1"/>
  <c r="Q37"/>
  <c r="Q174" s="1"/>
  <c r="P37"/>
  <c r="P174" s="1"/>
  <c r="O37"/>
  <c r="O174" s="1"/>
  <c r="N37"/>
  <c r="N174" s="1"/>
  <c r="M37"/>
  <c r="M174" s="1"/>
  <c r="L37"/>
  <c r="L174" s="1"/>
  <c r="K37"/>
  <c r="K174" s="1"/>
  <c r="J37"/>
  <c r="J174" s="1"/>
  <c r="I37"/>
  <c r="I174" s="1"/>
  <c r="H37"/>
  <c r="G37"/>
  <c r="F37"/>
  <c r="E37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AL35"/>
  <c r="AL173" s="1"/>
  <c r="AK35"/>
  <c r="AK173" s="1"/>
  <c r="AJ35"/>
  <c r="AJ173" s="1"/>
  <c r="AI35"/>
  <c r="AI173" s="1"/>
  <c r="AH35"/>
  <c r="AH173" s="1"/>
  <c r="AG35"/>
  <c r="AG173" s="1"/>
  <c r="AF35"/>
  <c r="AF173" s="1"/>
  <c r="AE35"/>
  <c r="AE173" s="1"/>
  <c r="AD35"/>
  <c r="AD173" s="1"/>
  <c r="AC35"/>
  <c r="AC173" s="1"/>
  <c r="AB35"/>
  <c r="AB173" s="1"/>
  <c r="AA35"/>
  <c r="AA173" s="1"/>
  <c r="Z35"/>
  <c r="Z173" s="1"/>
  <c r="Y35"/>
  <c r="Y173" s="1"/>
  <c r="X35"/>
  <c r="X173" s="1"/>
  <c r="W35"/>
  <c r="W173" s="1"/>
  <c r="V35"/>
  <c r="V173" s="1"/>
  <c r="U35"/>
  <c r="U173" s="1"/>
  <c r="T35"/>
  <c r="T173" s="1"/>
  <c r="S35"/>
  <c r="S173" s="1"/>
  <c r="R35"/>
  <c r="R173" s="1"/>
  <c r="Q35"/>
  <c r="Q173" s="1"/>
  <c r="P35"/>
  <c r="P173" s="1"/>
  <c r="O35"/>
  <c r="O173" s="1"/>
  <c r="N35"/>
  <c r="N173" s="1"/>
  <c r="M35"/>
  <c r="M173" s="1"/>
  <c r="L35"/>
  <c r="L173" s="1"/>
  <c r="K35"/>
  <c r="K173" s="1"/>
  <c r="J35"/>
  <c r="J173" s="1"/>
  <c r="I35"/>
  <c r="I173" s="1"/>
  <c r="H35"/>
  <c r="G35"/>
  <c r="F35"/>
  <c r="E35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AL33"/>
  <c r="AL172" s="1"/>
  <c r="AK33"/>
  <c r="AK172" s="1"/>
  <c r="AJ33"/>
  <c r="AJ172" s="1"/>
  <c r="AI33"/>
  <c r="AI172" s="1"/>
  <c r="AH33"/>
  <c r="AH172" s="1"/>
  <c r="AG33"/>
  <c r="AG172" s="1"/>
  <c r="AF33"/>
  <c r="AF172" s="1"/>
  <c r="AE33"/>
  <c r="AE172" s="1"/>
  <c r="AD33"/>
  <c r="AD172" s="1"/>
  <c r="AC33"/>
  <c r="AC172" s="1"/>
  <c r="AB33"/>
  <c r="AB172" s="1"/>
  <c r="AA33"/>
  <c r="AA172" s="1"/>
  <c r="Z33"/>
  <c r="Z172" s="1"/>
  <c r="Y33"/>
  <c r="Y172" s="1"/>
  <c r="X33"/>
  <c r="X172" s="1"/>
  <c r="W33"/>
  <c r="W172" s="1"/>
  <c r="V33"/>
  <c r="V172" s="1"/>
  <c r="U33"/>
  <c r="U172" s="1"/>
  <c r="T33"/>
  <c r="T172" s="1"/>
  <c r="S33"/>
  <c r="S172" s="1"/>
  <c r="R33"/>
  <c r="R172" s="1"/>
  <c r="Q33"/>
  <c r="Q172" s="1"/>
  <c r="P33"/>
  <c r="P172" s="1"/>
  <c r="O33"/>
  <c r="O172" s="1"/>
  <c r="N33"/>
  <c r="N172" s="1"/>
  <c r="M33"/>
  <c r="M172" s="1"/>
  <c r="L33"/>
  <c r="L172" s="1"/>
  <c r="K33"/>
  <c r="K172" s="1"/>
  <c r="J33"/>
  <c r="J172" s="1"/>
  <c r="I33"/>
  <c r="I172" s="1"/>
  <c r="H33"/>
  <c r="G33"/>
  <c r="F33"/>
  <c r="E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AL31"/>
  <c r="AL140" s="1"/>
  <c r="AK31"/>
  <c r="AK140" s="1"/>
  <c r="AJ31"/>
  <c r="AJ140" s="1"/>
  <c r="AI31"/>
  <c r="AI140" s="1"/>
  <c r="AH31"/>
  <c r="AH140" s="1"/>
  <c r="AG31"/>
  <c r="AG140" s="1"/>
  <c r="AF31"/>
  <c r="AF140" s="1"/>
  <c r="AE31"/>
  <c r="AE140" s="1"/>
  <c r="AD31"/>
  <c r="AD140" s="1"/>
  <c r="AC31"/>
  <c r="AC140" s="1"/>
  <c r="AB31"/>
  <c r="AB140" s="1"/>
  <c r="AA31"/>
  <c r="AA140" s="1"/>
  <c r="Z31"/>
  <c r="Z140" s="1"/>
  <c r="Y31"/>
  <c r="Y140" s="1"/>
  <c r="X31"/>
  <c r="X140" s="1"/>
  <c r="W31"/>
  <c r="W140" s="1"/>
  <c r="V31"/>
  <c r="V140" s="1"/>
  <c r="U31"/>
  <c r="U140" s="1"/>
  <c r="T31"/>
  <c r="T140" s="1"/>
  <c r="S31"/>
  <c r="S140" s="1"/>
  <c r="R31"/>
  <c r="R140" s="1"/>
  <c r="Q31"/>
  <c r="Q140" s="1"/>
  <c r="P31"/>
  <c r="P140" s="1"/>
  <c r="O31"/>
  <c r="O140" s="1"/>
  <c r="N31"/>
  <c r="N140" s="1"/>
  <c r="M31"/>
  <c r="M140" s="1"/>
  <c r="L31"/>
  <c r="L140" s="1"/>
  <c r="K31"/>
  <c r="K140" s="1"/>
  <c r="J31"/>
  <c r="J140" s="1"/>
  <c r="I31"/>
  <c r="I140" s="1"/>
  <c r="H31"/>
  <c r="G31"/>
  <c r="F31"/>
  <c r="E31"/>
  <c r="AL30"/>
  <c r="AL171" s="1"/>
  <c r="AK30"/>
  <c r="AK171" s="1"/>
  <c r="AJ30"/>
  <c r="AJ171" s="1"/>
  <c r="AI30"/>
  <c r="AI171" s="1"/>
  <c r="AH30"/>
  <c r="AH171" s="1"/>
  <c r="AG30"/>
  <c r="AG171" s="1"/>
  <c r="AF30"/>
  <c r="AF171" s="1"/>
  <c r="AE30"/>
  <c r="AE171" s="1"/>
  <c r="AD30"/>
  <c r="AD171" s="1"/>
  <c r="AC30"/>
  <c r="AC171" s="1"/>
  <c r="AB30"/>
  <c r="AB171" s="1"/>
  <c r="AA30"/>
  <c r="AA171" s="1"/>
  <c r="Z30"/>
  <c r="Z171" s="1"/>
  <c r="Y30"/>
  <c r="Y171" s="1"/>
  <c r="X30"/>
  <c r="X171" s="1"/>
  <c r="W30"/>
  <c r="W171" s="1"/>
  <c r="V30"/>
  <c r="V171" s="1"/>
  <c r="U30"/>
  <c r="U171" s="1"/>
  <c r="T30"/>
  <c r="T171" s="1"/>
  <c r="S30"/>
  <c r="S171" s="1"/>
  <c r="R30"/>
  <c r="R171" s="1"/>
  <c r="Q30"/>
  <c r="Q171" s="1"/>
  <c r="P30"/>
  <c r="P171" s="1"/>
  <c r="O30"/>
  <c r="O171" s="1"/>
  <c r="N30"/>
  <c r="N171" s="1"/>
  <c r="M30"/>
  <c r="M171" s="1"/>
  <c r="L30"/>
  <c r="L171" s="1"/>
  <c r="K30"/>
  <c r="K171" s="1"/>
  <c r="J30"/>
  <c r="J171" s="1"/>
  <c r="I30"/>
  <c r="I171" s="1"/>
  <c r="H30"/>
  <c r="G30"/>
  <c r="F30"/>
  <c r="E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AL27"/>
  <c r="AL162" s="1"/>
  <c r="AK27"/>
  <c r="AK162" s="1"/>
  <c r="AJ27"/>
  <c r="AJ162" s="1"/>
  <c r="AI27"/>
  <c r="AI162" s="1"/>
  <c r="AH27"/>
  <c r="AH162" s="1"/>
  <c r="AG27"/>
  <c r="AG162" s="1"/>
  <c r="AF27"/>
  <c r="AF162" s="1"/>
  <c r="AE27"/>
  <c r="AE162" s="1"/>
  <c r="AD27"/>
  <c r="AD162" s="1"/>
  <c r="AC27"/>
  <c r="AC162" s="1"/>
  <c r="AB27"/>
  <c r="AB162" s="1"/>
  <c r="AA27"/>
  <c r="AA162" s="1"/>
  <c r="Z27"/>
  <c r="Z162" s="1"/>
  <c r="Y27"/>
  <c r="Y162" s="1"/>
  <c r="X27"/>
  <c r="X162" s="1"/>
  <c r="W27"/>
  <c r="W162" s="1"/>
  <c r="V27"/>
  <c r="V162" s="1"/>
  <c r="U27"/>
  <c r="U162" s="1"/>
  <c r="T27"/>
  <c r="T162" s="1"/>
  <c r="S27"/>
  <c r="S162" s="1"/>
  <c r="R27"/>
  <c r="R162" s="1"/>
  <c r="Q27"/>
  <c r="Q162" s="1"/>
  <c r="P27"/>
  <c r="P162" s="1"/>
  <c r="O27"/>
  <c r="O162" s="1"/>
  <c r="N27"/>
  <c r="N162" s="1"/>
  <c r="M27"/>
  <c r="M162" s="1"/>
  <c r="L27"/>
  <c r="L162" s="1"/>
  <c r="K27"/>
  <c r="K162" s="1"/>
  <c r="J27"/>
  <c r="J162" s="1"/>
  <c r="I27"/>
  <c r="I162" s="1"/>
  <c r="H27"/>
  <c r="G27"/>
  <c r="F27"/>
  <c r="E27"/>
  <c r="AL26"/>
  <c r="AL182" s="1"/>
  <c r="AK26"/>
  <c r="AK182" s="1"/>
  <c r="AJ26"/>
  <c r="AJ182" s="1"/>
  <c r="AI26"/>
  <c r="AI182" s="1"/>
  <c r="AH26"/>
  <c r="AH182" s="1"/>
  <c r="AG26"/>
  <c r="AG182" s="1"/>
  <c r="AF26"/>
  <c r="AF182" s="1"/>
  <c r="AE26"/>
  <c r="AE182" s="1"/>
  <c r="AD26"/>
  <c r="AD182" s="1"/>
  <c r="AC26"/>
  <c r="AC182" s="1"/>
  <c r="AB26"/>
  <c r="AB182" s="1"/>
  <c r="AA26"/>
  <c r="AA182" s="1"/>
  <c r="Z26"/>
  <c r="Z182" s="1"/>
  <c r="Y26"/>
  <c r="Y182" s="1"/>
  <c r="X26"/>
  <c r="X182" s="1"/>
  <c r="W26"/>
  <c r="W182" s="1"/>
  <c r="V26"/>
  <c r="V182" s="1"/>
  <c r="U26"/>
  <c r="U182" s="1"/>
  <c r="T26"/>
  <c r="T182" s="1"/>
  <c r="S26"/>
  <c r="S182" s="1"/>
  <c r="R26"/>
  <c r="R182" s="1"/>
  <c r="Q26"/>
  <c r="Q182" s="1"/>
  <c r="P26"/>
  <c r="P182" s="1"/>
  <c r="O26"/>
  <c r="O182" s="1"/>
  <c r="N26"/>
  <c r="N182" s="1"/>
  <c r="M26"/>
  <c r="M182" s="1"/>
  <c r="L26"/>
  <c r="L182" s="1"/>
  <c r="K26"/>
  <c r="K182" s="1"/>
  <c r="J26"/>
  <c r="J182" s="1"/>
  <c r="I26"/>
  <c r="I182" s="1"/>
  <c r="H26"/>
  <c r="G26"/>
  <c r="F26"/>
  <c r="E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AL23"/>
  <c r="AL160" s="1"/>
  <c r="AK23"/>
  <c r="AK160" s="1"/>
  <c r="AJ23"/>
  <c r="AJ160" s="1"/>
  <c r="AI23"/>
  <c r="AI160" s="1"/>
  <c r="AH23"/>
  <c r="AH160" s="1"/>
  <c r="AG23"/>
  <c r="AG160" s="1"/>
  <c r="AF23"/>
  <c r="AF160" s="1"/>
  <c r="AE23"/>
  <c r="AE160" s="1"/>
  <c r="AD23"/>
  <c r="AD160" s="1"/>
  <c r="AC23"/>
  <c r="AC160" s="1"/>
  <c r="AB23"/>
  <c r="AB160" s="1"/>
  <c r="AA23"/>
  <c r="AA160" s="1"/>
  <c r="Z23"/>
  <c r="Z160" s="1"/>
  <c r="Y23"/>
  <c r="Y160" s="1"/>
  <c r="X23"/>
  <c r="X160" s="1"/>
  <c r="W23"/>
  <c r="W160" s="1"/>
  <c r="V23"/>
  <c r="V160" s="1"/>
  <c r="U23"/>
  <c r="U160" s="1"/>
  <c r="T23"/>
  <c r="T160" s="1"/>
  <c r="S23"/>
  <c r="S160" s="1"/>
  <c r="R23"/>
  <c r="R160" s="1"/>
  <c r="Q23"/>
  <c r="Q160" s="1"/>
  <c r="P23"/>
  <c r="P160" s="1"/>
  <c r="O23"/>
  <c r="O160" s="1"/>
  <c r="N23"/>
  <c r="N160" s="1"/>
  <c r="M23"/>
  <c r="M160" s="1"/>
  <c r="L23"/>
  <c r="L160" s="1"/>
  <c r="K23"/>
  <c r="K160" s="1"/>
  <c r="J23"/>
  <c r="J160" s="1"/>
  <c r="I23"/>
  <c r="I160" s="1"/>
  <c r="H23"/>
  <c r="G23"/>
  <c r="F23"/>
  <c r="E23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AL19"/>
  <c r="AL235" s="1"/>
  <c r="AK19"/>
  <c r="AK235" s="1"/>
  <c r="AJ19"/>
  <c r="AJ235" s="1"/>
  <c r="AI19"/>
  <c r="AI235" s="1"/>
  <c r="AH19"/>
  <c r="AH235" s="1"/>
  <c r="AG19"/>
  <c r="AG235" s="1"/>
  <c r="AF19"/>
  <c r="AF235" s="1"/>
  <c r="AE19"/>
  <c r="AE235" s="1"/>
  <c r="AD19"/>
  <c r="AD235" s="1"/>
  <c r="AC19"/>
  <c r="AC235" s="1"/>
  <c r="AB19"/>
  <c r="AB235" s="1"/>
  <c r="AA19"/>
  <c r="AA235" s="1"/>
  <c r="Z19"/>
  <c r="Z235" s="1"/>
  <c r="Y19"/>
  <c r="Y235" s="1"/>
  <c r="X19"/>
  <c r="X235" s="1"/>
  <c r="W19"/>
  <c r="W235" s="1"/>
  <c r="V19"/>
  <c r="V235" s="1"/>
  <c r="U19"/>
  <c r="U235" s="1"/>
  <c r="T19"/>
  <c r="T235" s="1"/>
  <c r="S19"/>
  <c r="S235" s="1"/>
  <c r="R19"/>
  <c r="R235" s="1"/>
  <c r="Q19"/>
  <c r="Q235" s="1"/>
  <c r="P19"/>
  <c r="P235" s="1"/>
  <c r="O19"/>
  <c r="O235" s="1"/>
  <c r="N19"/>
  <c r="N235" s="1"/>
  <c r="M19"/>
  <c r="M235" s="1"/>
  <c r="L19"/>
  <c r="L235" s="1"/>
  <c r="K19"/>
  <c r="K235" s="1"/>
  <c r="J19"/>
  <c r="J235" s="1"/>
  <c r="I19"/>
  <c r="I235" s="1"/>
  <c r="H19"/>
  <c r="H235" s="1"/>
  <c r="G19"/>
  <c r="G235" s="1"/>
  <c r="F19"/>
  <c r="F235" s="1"/>
  <c r="E19"/>
  <c r="E235" s="1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AL17"/>
  <c r="AL134" s="1"/>
  <c r="AK17"/>
  <c r="AK134" s="1"/>
  <c r="AJ17"/>
  <c r="AJ134" s="1"/>
  <c r="AI17"/>
  <c r="AI134" s="1"/>
  <c r="AH17"/>
  <c r="AH134" s="1"/>
  <c r="AG17"/>
  <c r="AG134" s="1"/>
  <c r="AF17"/>
  <c r="AF134" s="1"/>
  <c r="AE17"/>
  <c r="AE134" s="1"/>
  <c r="AD17"/>
  <c r="AD134" s="1"/>
  <c r="AC17"/>
  <c r="AC134" s="1"/>
  <c r="AB17"/>
  <c r="AB134" s="1"/>
  <c r="AA17"/>
  <c r="AA134" s="1"/>
  <c r="Z17"/>
  <c r="Z134" s="1"/>
  <c r="Y17"/>
  <c r="Y134" s="1"/>
  <c r="X17"/>
  <c r="X134" s="1"/>
  <c r="W17"/>
  <c r="W134" s="1"/>
  <c r="V17"/>
  <c r="V134" s="1"/>
  <c r="U17"/>
  <c r="U134" s="1"/>
  <c r="T17"/>
  <c r="T134" s="1"/>
  <c r="S17"/>
  <c r="S134" s="1"/>
  <c r="R17"/>
  <c r="R134" s="1"/>
  <c r="Q17"/>
  <c r="Q134" s="1"/>
  <c r="P17"/>
  <c r="P134" s="1"/>
  <c r="O17"/>
  <c r="O134" s="1"/>
  <c r="N17"/>
  <c r="N134" s="1"/>
  <c r="M17"/>
  <c r="M134" s="1"/>
  <c r="L17"/>
  <c r="L134" s="1"/>
  <c r="K17"/>
  <c r="K134" s="1"/>
  <c r="J17"/>
  <c r="J134" s="1"/>
  <c r="I17"/>
  <c r="I134" s="1"/>
  <c r="H17"/>
  <c r="G17"/>
  <c r="F17"/>
  <c r="E17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AL14"/>
  <c r="AL133" s="1"/>
  <c r="AK14"/>
  <c r="AK133" s="1"/>
  <c r="AJ14"/>
  <c r="AJ133" s="1"/>
  <c r="AI14"/>
  <c r="AI133" s="1"/>
  <c r="AH14"/>
  <c r="AH133" s="1"/>
  <c r="AG14"/>
  <c r="AG133" s="1"/>
  <c r="AF14"/>
  <c r="AF133" s="1"/>
  <c r="AE14"/>
  <c r="AE133" s="1"/>
  <c r="AD14"/>
  <c r="AD133" s="1"/>
  <c r="AC14"/>
  <c r="AC133" s="1"/>
  <c r="AB14"/>
  <c r="AB133" s="1"/>
  <c r="AA14"/>
  <c r="AA133" s="1"/>
  <c r="Z14"/>
  <c r="Z133" s="1"/>
  <c r="Y14"/>
  <c r="Y133" s="1"/>
  <c r="X14"/>
  <c r="X133" s="1"/>
  <c r="W14"/>
  <c r="W133" s="1"/>
  <c r="V14"/>
  <c r="V133" s="1"/>
  <c r="U14"/>
  <c r="U133" s="1"/>
  <c r="T14"/>
  <c r="T133" s="1"/>
  <c r="S14"/>
  <c r="S133" s="1"/>
  <c r="R14"/>
  <c r="R133" s="1"/>
  <c r="Q14"/>
  <c r="Q133" s="1"/>
  <c r="P14"/>
  <c r="P133" s="1"/>
  <c r="O14"/>
  <c r="O133" s="1"/>
  <c r="N14"/>
  <c r="N133" s="1"/>
  <c r="M14"/>
  <c r="M133" s="1"/>
  <c r="L14"/>
  <c r="L133" s="1"/>
  <c r="K14"/>
  <c r="K133" s="1"/>
  <c r="J14"/>
  <c r="J133" s="1"/>
  <c r="I14"/>
  <c r="I133" s="1"/>
  <c r="H14"/>
  <c r="G14"/>
  <c r="F14"/>
  <c r="E14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I9"/>
  <c r="I58" s="1"/>
  <c r="I8"/>
  <c r="S81" i="6"/>
  <c r="G51"/>
  <c r="H51"/>
  <c r="F52"/>
  <c r="G52"/>
  <c r="H52"/>
  <c r="F63"/>
  <c r="F51" s="1"/>
  <c r="G63"/>
  <c r="H63"/>
  <c r="S87"/>
  <c r="S86"/>
  <c r="S85"/>
  <c r="S84"/>
  <c r="S83"/>
  <c r="S82"/>
  <c r="S80"/>
  <c r="S79"/>
  <c r="S78"/>
  <c r="S77"/>
  <c r="S76"/>
  <c r="S75"/>
  <c r="F231" i="9" l="1"/>
  <c r="F230"/>
  <c r="F214"/>
  <c r="F209"/>
  <c r="F187"/>
  <c r="H231"/>
  <c r="H230"/>
  <c r="H214"/>
  <c r="H209"/>
  <c r="H187"/>
  <c r="J231"/>
  <c r="J230"/>
  <c r="J214"/>
  <c r="J199"/>
  <c r="J198"/>
  <c r="J197"/>
  <c r="J196"/>
  <c r="J209"/>
  <c r="J187"/>
  <c r="L231"/>
  <c r="L230"/>
  <c r="L214"/>
  <c r="L199"/>
  <c r="L198"/>
  <c r="L197"/>
  <c r="L196"/>
  <c r="L209"/>
  <c r="L187"/>
  <c r="N231"/>
  <c r="N230"/>
  <c r="N214"/>
  <c r="N199"/>
  <c r="N198"/>
  <c r="N197"/>
  <c r="N196"/>
  <c r="N209"/>
  <c r="N187"/>
  <c r="P231"/>
  <c r="P230"/>
  <c r="P214"/>
  <c r="P199"/>
  <c r="P198"/>
  <c r="P197"/>
  <c r="P196"/>
  <c r="P209"/>
  <c r="P187"/>
  <c r="R231"/>
  <c r="R230"/>
  <c r="R214"/>
  <c r="R199"/>
  <c r="R198"/>
  <c r="R197"/>
  <c r="R196"/>
  <c r="R209"/>
  <c r="R187"/>
  <c r="T231"/>
  <c r="T230"/>
  <c r="T214"/>
  <c r="T212"/>
  <c r="T210"/>
  <c r="T208"/>
  <c r="T206"/>
  <c r="T204"/>
  <c r="T199"/>
  <c r="T198"/>
  <c r="T197"/>
  <c r="T196"/>
  <c r="T215"/>
  <c r="T213"/>
  <c r="T211"/>
  <c r="T209"/>
  <c r="T207"/>
  <c r="T205"/>
  <c r="T187"/>
  <c r="V231"/>
  <c r="V230"/>
  <c r="V214"/>
  <c r="V212"/>
  <c r="V210"/>
  <c r="V208"/>
  <c r="V206"/>
  <c r="V204"/>
  <c r="V199"/>
  <c r="V198"/>
  <c r="V197"/>
  <c r="V196"/>
  <c r="V215"/>
  <c r="V213"/>
  <c r="V211"/>
  <c r="V209"/>
  <c r="V207"/>
  <c r="V205"/>
  <c r="V187"/>
  <c r="X231"/>
  <c r="X230"/>
  <c r="X214"/>
  <c r="X212"/>
  <c r="X210"/>
  <c r="X208"/>
  <c r="X206"/>
  <c r="X204"/>
  <c r="X199"/>
  <c r="X198"/>
  <c r="X197"/>
  <c r="X196"/>
  <c r="X215"/>
  <c r="X213"/>
  <c r="X211"/>
  <c r="X209"/>
  <c r="X207"/>
  <c r="X205"/>
  <c r="X187"/>
  <c r="Z231"/>
  <c r="Z230"/>
  <c r="Z214"/>
  <c r="Z212"/>
  <c r="Z210"/>
  <c r="Z208"/>
  <c r="Z206"/>
  <c r="Z204"/>
  <c r="Z199"/>
  <c r="Z198"/>
  <c r="Z197"/>
  <c r="Z196"/>
  <c r="Z215"/>
  <c r="Z213"/>
  <c r="Z211"/>
  <c r="Z209"/>
  <c r="Z207"/>
  <c r="Z205"/>
  <c r="Z187"/>
  <c r="AB231"/>
  <c r="AB230"/>
  <c r="AB214"/>
  <c r="AB212"/>
  <c r="AB210"/>
  <c r="AB208"/>
  <c r="AB206"/>
  <c r="AB204"/>
  <c r="AB199"/>
  <c r="AB198"/>
  <c r="AB197"/>
  <c r="AB196"/>
  <c r="AB215"/>
  <c r="AB213"/>
  <c r="AB211"/>
  <c r="AB209"/>
  <c r="AB207"/>
  <c r="AB205"/>
  <c r="AB187"/>
  <c r="AD231"/>
  <c r="AD230"/>
  <c r="AD214"/>
  <c r="AD212"/>
  <c r="AD210"/>
  <c r="AD208"/>
  <c r="AD206"/>
  <c r="AD204"/>
  <c r="AD199"/>
  <c r="AD198"/>
  <c r="AD197"/>
  <c r="AD196"/>
  <c r="AD215"/>
  <c r="AD213"/>
  <c r="AD211"/>
  <c r="AD209"/>
  <c r="AD207"/>
  <c r="AD205"/>
  <c r="AD187"/>
  <c r="AF231"/>
  <c r="AF230"/>
  <c r="AF214"/>
  <c r="AF212"/>
  <c r="AF210"/>
  <c r="AF208"/>
  <c r="AF206"/>
  <c r="AF204"/>
  <c r="AF199"/>
  <c r="AF198"/>
  <c r="AF197"/>
  <c r="AF196"/>
  <c r="AF215"/>
  <c r="AF213"/>
  <c r="AF211"/>
  <c r="AF209"/>
  <c r="AF207"/>
  <c r="AF205"/>
  <c r="AF187"/>
  <c r="AH231"/>
  <c r="AH230"/>
  <c r="AH214"/>
  <c r="AH212"/>
  <c r="AH210"/>
  <c r="AH208"/>
  <c r="AH206"/>
  <c r="AH204"/>
  <c r="AH199"/>
  <c r="AH198"/>
  <c r="AH197"/>
  <c r="AH196"/>
  <c r="AH215"/>
  <c r="AH213"/>
  <c r="AH211"/>
  <c r="AH209"/>
  <c r="AH207"/>
  <c r="AH205"/>
  <c r="AH187"/>
  <c r="AJ231"/>
  <c r="AJ230"/>
  <c r="AJ214"/>
  <c r="AJ212"/>
  <c r="AJ210"/>
  <c r="AJ208"/>
  <c r="AJ206"/>
  <c r="AJ204"/>
  <c r="AJ199"/>
  <c r="AJ198"/>
  <c r="AJ197"/>
  <c r="AJ196"/>
  <c r="AJ215"/>
  <c r="AJ213"/>
  <c r="AJ211"/>
  <c r="AJ209"/>
  <c r="AJ207"/>
  <c r="AJ205"/>
  <c r="AJ187"/>
  <c r="AL231"/>
  <c r="AL230"/>
  <c r="AL214"/>
  <c r="AL212"/>
  <c r="AL210"/>
  <c r="AL208"/>
  <c r="AL206"/>
  <c r="AL204"/>
  <c r="AL199"/>
  <c r="AL198"/>
  <c r="AL197"/>
  <c r="AL196"/>
  <c r="AL215"/>
  <c r="AL213"/>
  <c r="AL211"/>
  <c r="AL209"/>
  <c r="AL207"/>
  <c r="AL205"/>
  <c r="AL187"/>
  <c r="F232"/>
  <c r="F185"/>
  <c r="H232"/>
  <c r="H185"/>
  <c r="J232"/>
  <c r="J185"/>
  <c r="L232"/>
  <c r="L185"/>
  <c r="N232"/>
  <c r="N185"/>
  <c r="P232"/>
  <c r="P185"/>
  <c r="R232"/>
  <c r="R185"/>
  <c r="T232"/>
  <c r="T185"/>
  <c r="V232"/>
  <c r="V185"/>
  <c r="X232"/>
  <c r="X185"/>
  <c r="Z232"/>
  <c r="Z185"/>
  <c r="AB232"/>
  <c r="AB185"/>
  <c r="AD232"/>
  <c r="AD185"/>
  <c r="AF232"/>
  <c r="AF185"/>
  <c r="AH232"/>
  <c r="AH185"/>
  <c r="AJ232"/>
  <c r="AJ185"/>
  <c r="AL232"/>
  <c r="AL185"/>
  <c r="F234"/>
  <c r="F233"/>
  <c r="H234"/>
  <c r="H233"/>
  <c r="J234"/>
  <c r="J233"/>
  <c r="L234"/>
  <c r="L233"/>
  <c r="N234"/>
  <c r="N233"/>
  <c r="P234"/>
  <c r="P233"/>
  <c r="R234"/>
  <c r="R233"/>
  <c r="T234"/>
  <c r="T233"/>
  <c r="V234"/>
  <c r="V233"/>
  <c r="X234"/>
  <c r="X233"/>
  <c r="Z234"/>
  <c r="Z233"/>
  <c r="AB234"/>
  <c r="AB233"/>
  <c r="AD234"/>
  <c r="AD233"/>
  <c r="AF234"/>
  <c r="AF233"/>
  <c r="AH234"/>
  <c r="AH233"/>
  <c r="AJ234"/>
  <c r="AJ233"/>
  <c r="AL234"/>
  <c r="AL233"/>
  <c r="F237"/>
  <c r="F236"/>
  <c r="H237"/>
  <c r="H236"/>
  <c r="J237"/>
  <c r="J236"/>
  <c r="L237"/>
  <c r="L236"/>
  <c r="N237"/>
  <c r="N236"/>
  <c r="P237"/>
  <c r="P236"/>
  <c r="R237"/>
  <c r="R236"/>
  <c r="T237"/>
  <c r="T236"/>
  <c r="V237"/>
  <c r="V236"/>
  <c r="X237"/>
  <c r="X236"/>
  <c r="Z237"/>
  <c r="Z236"/>
  <c r="AB237"/>
  <c r="AB236"/>
  <c r="AD237"/>
  <c r="AD236"/>
  <c r="AF237"/>
  <c r="AF236"/>
  <c r="AH237"/>
  <c r="AH236"/>
  <c r="AJ237"/>
  <c r="AJ236"/>
  <c r="AL237"/>
  <c r="AL236"/>
  <c r="F241"/>
  <c r="F239"/>
  <c r="F238"/>
  <c r="F186"/>
  <c r="H241"/>
  <c r="H239"/>
  <c r="H238"/>
  <c r="H186"/>
  <c r="J241"/>
  <c r="J239"/>
  <c r="J238"/>
  <c r="J186"/>
  <c r="L241"/>
  <c r="L239"/>
  <c r="L238"/>
  <c r="L186"/>
  <c r="N241"/>
  <c r="N239"/>
  <c r="N238"/>
  <c r="N186"/>
  <c r="P241"/>
  <c r="P239"/>
  <c r="P238"/>
  <c r="P186"/>
  <c r="R241"/>
  <c r="R239"/>
  <c r="R238"/>
  <c r="R186"/>
  <c r="T241"/>
  <c r="T239"/>
  <c r="T238"/>
  <c r="T186"/>
  <c r="V241"/>
  <c r="V239"/>
  <c r="V238"/>
  <c r="V186"/>
  <c r="X241"/>
  <c r="X239"/>
  <c r="X238"/>
  <c r="X186"/>
  <c r="Z241"/>
  <c r="Z239"/>
  <c r="Z238"/>
  <c r="Z186"/>
  <c r="AB241"/>
  <c r="AB239"/>
  <c r="AB238"/>
  <c r="AB186"/>
  <c r="AD241"/>
  <c r="AD239"/>
  <c r="AD238"/>
  <c r="AD186"/>
  <c r="AF241"/>
  <c r="AF239"/>
  <c r="AF238"/>
  <c r="AF186"/>
  <c r="AH241"/>
  <c r="AH239"/>
  <c r="AH238"/>
  <c r="AH186"/>
  <c r="AJ241"/>
  <c r="AJ239"/>
  <c r="AJ238"/>
  <c r="AJ186"/>
  <c r="AL241"/>
  <c r="AL239"/>
  <c r="AL238"/>
  <c r="AL186"/>
  <c r="H9"/>
  <c r="J9"/>
  <c r="H188"/>
  <c r="I188"/>
  <c r="K188"/>
  <c r="M188"/>
  <c r="O188"/>
  <c r="Q188"/>
  <c r="S188"/>
  <c r="U188"/>
  <c r="W188"/>
  <c r="Y188"/>
  <c r="AA188"/>
  <c r="AC188"/>
  <c r="AE188"/>
  <c r="AG188"/>
  <c r="AI188"/>
  <c r="AK188"/>
  <c r="J61"/>
  <c r="L61"/>
  <c r="N61"/>
  <c r="P61"/>
  <c r="R61"/>
  <c r="T61"/>
  <c r="V61"/>
  <c r="X61"/>
  <c r="Z61"/>
  <c r="AB61"/>
  <c r="AD61"/>
  <c r="AF61"/>
  <c r="AH61"/>
  <c r="AJ61"/>
  <c r="AL61"/>
  <c r="J125"/>
  <c r="L125"/>
  <c r="N125"/>
  <c r="P125"/>
  <c r="R125"/>
  <c r="T125"/>
  <c r="V125"/>
  <c r="X125"/>
  <c r="Z125"/>
  <c r="AB125"/>
  <c r="AD125"/>
  <c r="AF125"/>
  <c r="AH125"/>
  <c r="AJ125"/>
  <c r="AL125"/>
  <c r="J127"/>
  <c r="L127"/>
  <c r="N127"/>
  <c r="P127"/>
  <c r="R127"/>
  <c r="T127"/>
  <c r="V127"/>
  <c r="X127"/>
  <c r="Z127"/>
  <c r="AB127"/>
  <c r="AD127"/>
  <c r="AF127"/>
  <c r="AH127"/>
  <c r="AJ127"/>
  <c r="AL127"/>
  <c r="J130"/>
  <c r="L130"/>
  <c r="N130"/>
  <c r="P130"/>
  <c r="R130"/>
  <c r="T130"/>
  <c r="V130"/>
  <c r="X130"/>
  <c r="Z130"/>
  <c r="AB130"/>
  <c r="AD130"/>
  <c r="AF130"/>
  <c r="AH130"/>
  <c r="AJ130"/>
  <c r="AL130"/>
  <c r="J131"/>
  <c r="L131"/>
  <c r="N131"/>
  <c r="P131"/>
  <c r="R131"/>
  <c r="T131"/>
  <c r="V131"/>
  <c r="X131"/>
  <c r="Z131"/>
  <c r="AB131"/>
  <c r="AD131"/>
  <c r="AF131"/>
  <c r="AH131"/>
  <c r="AJ131"/>
  <c r="AL131"/>
  <c r="J132"/>
  <c r="L132"/>
  <c r="N132"/>
  <c r="P132"/>
  <c r="R132"/>
  <c r="T132"/>
  <c r="V132"/>
  <c r="X132"/>
  <c r="Z132"/>
  <c r="AB132"/>
  <c r="AD132"/>
  <c r="AF132"/>
  <c r="AH132"/>
  <c r="AJ132"/>
  <c r="AL132"/>
  <c r="J135"/>
  <c r="L135"/>
  <c r="N135"/>
  <c r="P135"/>
  <c r="R135"/>
  <c r="T135"/>
  <c r="V135"/>
  <c r="X135"/>
  <c r="Z135"/>
  <c r="AB135"/>
  <c r="AD135"/>
  <c r="AF135"/>
  <c r="AH135"/>
  <c r="AJ135"/>
  <c r="AL135"/>
  <c r="J136"/>
  <c r="L136"/>
  <c r="N136"/>
  <c r="P136"/>
  <c r="R136"/>
  <c r="T136"/>
  <c r="V136"/>
  <c r="X136"/>
  <c r="Z136"/>
  <c r="AB136"/>
  <c r="AD136"/>
  <c r="AF136"/>
  <c r="AH136"/>
  <c r="AJ136"/>
  <c r="AL136"/>
  <c r="J137"/>
  <c r="L137"/>
  <c r="N137"/>
  <c r="P137"/>
  <c r="R137"/>
  <c r="T137"/>
  <c r="V137"/>
  <c r="X137"/>
  <c r="Z137"/>
  <c r="AB137"/>
  <c r="AD137"/>
  <c r="AF137"/>
  <c r="AH137"/>
  <c r="AJ137"/>
  <c r="AL137"/>
  <c r="J138"/>
  <c r="L138"/>
  <c r="N138"/>
  <c r="P138"/>
  <c r="R138"/>
  <c r="T138"/>
  <c r="V138"/>
  <c r="X138"/>
  <c r="Z138"/>
  <c r="AB138"/>
  <c r="AD138"/>
  <c r="AF138"/>
  <c r="AH138"/>
  <c r="AJ138"/>
  <c r="AL138"/>
  <c r="J139"/>
  <c r="L139"/>
  <c r="N139"/>
  <c r="P139"/>
  <c r="R139"/>
  <c r="T139"/>
  <c r="V139"/>
  <c r="X139"/>
  <c r="Z139"/>
  <c r="AB139"/>
  <c r="AD139"/>
  <c r="AF139"/>
  <c r="AH139"/>
  <c r="AJ139"/>
  <c r="AL139"/>
  <c r="J141"/>
  <c r="L141"/>
  <c r="N141"/>
  <c r="P141"/>
  <c r="R141"/>
  <c r="T141"/>
  <c r="V141"/>
  <c r="X141"/>
  <c r="Z141"/>
  <c r="AB141"/>
  <c r="AD141"/>
  <c r="AF141"/>
  <c r="AH141"/>
  <c r="AJ141"/>
  <c r="AL141"/>
  <c r="J147"/>
  <c r="L147"/>
  <c r="N147"/>
  <c r="P147"/>
  <c r="R147"/>
  <c r="T147"/>
  <c r="V147"/>
  <c r="X147"/>
  <c r="Z147"/>
  <c r="AB147"/>
  <c r="AD147"/>
  <c r="AF147"/>
  <c r="AH147"/>
  <c r="AJ147"/>
  <c r="AL147"/>
  <c r="J149"/>
  <c r="L149"/>
  <c r="N149"/>
  <c r="P149"/>
  <c r="R149"/>
  <c r="T149"/>
  <c r="V149"/>
  <c r="X149"/>
  <c r="Z149"/>
  <c r="AB149"/>
  <c r="AD149"/>
  <c r="AF149"/>
  <c r="AH149"/>
  <c r="AJ149"/>
  <c r="AL149"/>
  <c r="J155"/>
  <c r="L155"/>
  <c r="N155"/>
  <c r="P155"/>
  <c r="R155"/>
  <c r="T155"/>
  <c r="V155"/>
  <c r="X155"/>
  <c r="Z155"/>
  <c r="AB155"/>
  <c r="AD155"/>
  <c r="AF155"/>
  <c r="AH155"/>
  <c r="AJ155"/>
  <c r="J159"/>
  <c r="L159"/>
  <c r="N159"/>
  <c r="P159"/>
  <c r="R159"/>
  <c r="T159"/>
  <c r="V159"/>
  <c r="X159"/>
  <c r="Z159"/>
  <c r="AB159"/>
  <c r="AD159"/>
  <c r="AF159"/>
  <c r="AH159"/>
  <c r="AJ159"/>
  <c r="AL159"/>
  <c r="J161"/>
  <c r="L161"/>
  <c r="N161"/>
  <c r="P161"/>
  <c r="R161"/>
  <c r="T161"/>
  <c r="V161"/>
  <c r="X161"/>
  <c r="Z161"/>
  <c r="AB161"/>
  <c r="AD161"/>
  <c r="AF161"/>
  <c r="AH161"/>
  <c r="AJ161"/>
  <c r="AL161"/>
  <c r="J163"/>
  <c r="L163"/>
  <c r="N163"/>
  <c r="P163"/>
  <c r="R163"/>
  <c r="T163"/>
  <c r="V163"/>
  <c r="X163"/>
  <c r="Z163"/>
  <c r="AB163"/>
  <c r="AD163"/>
  <c r="AF163"/>
  <c r="AH163"/>
  <c r="AJ163"/>
  <c r="AL163"/>
  <c r="J164"/>
  <c r="L164"/>
  <c r="N164"/>
  <c r="P164"/>
  <c r="R164"/>
  <c r="T164"/>
  <c r="V164"/>
  <c r="X164"/>
  <c r="Z164"/>
  <c r="AB164"/>
  <c r="AD164"/>
  <c r="AF164"/>
  <c r="AH164"/>
  <c r="AJ164"/>
  <c r="AL164"/>
  <c r="J165"/>
  <c r="L165"/>
  <c r="N165"/>
  <c r="P165"/>
  <c r="R165"/>
  <c r="T165"/>
  <c r="V165"/>
  <c r="X165"/>
  <c r="Z165"/>
  <c r="AB165"/>
  <c r="AD165"/>
  <c r="AF165"/>
  <c r="AH165"/>
  <c r="AJ165"/>
  <c r="AL165"/>
  <c r="J166"/>
  <c r="L166"/>
  <c r="N166"/>
  <c r="P166"/>
  <c r="R166"/>
  <c r="T166"/>
  <c r="V166"/>
  <c r="X166"/>
  <c r="Z166"/>
  <c r="AB166"/>
  <c r="AD166"/>
  <c r="AF166"/>
  <c r="AH166"/>
  <c r="AJ166"/>
  <c r="AL166"/>
  <c r="J167"/>
  <c r="L167"/>
  <c r="N167"/>
  <c r="P167"/>
  <c r="R167"/>
  <c r="T167"/>
  <c r="V167"/>
  <c r="X167"/>
  <c r="Z167"/>
  <c r="AB167"/>
  <c r="AD167"/>
  <c r="AF167"/>
  <c r="AH167"/>
  <c r="AJ167"/>
  <c r="AL167"/>
  <c r="J168"/>
  <c r="L168"/>
  <c r="N168"/>
  <c r="P168"/>
  <c r="R168"/>
  <c r="T168"/>
  <c r="V168"/>
  <c r="X168"/>
  <c r="Z168"/>
  <c r="AB168"/>
  <c r="AD168"/>
  <c r="AF168"/>
  <c r="AH168"/>
  <c r="AJ168"/>
  <c r="AL168"/>
  <c r="J169"/>
  <c r="L169"/>
  <c r="N169"/>
  <c r="P169"/>
  <c r="R169"/>
  <c r="T169"/>
  <c r="V169"/>
  <c r="X169"/>
  <c r="Z169"/>
  <c r="AB169"/>
  <c r="AD169"/>
  <c r="AF169"/>
  <c r="AH169"/>
  <c r="AJ169"/>
  <c r="AL169"/>
  <c r="J170"/>
  <c r="L170"/>
  <c r="N170"/>
  <c r="P170"/>
  <c r="R170"/>
  <c r="T170"/>
  <c r="V170"/>
  <c r="X170"/>
  <c r="Z170"/>
  <c r="AB170"/>
  <c r="AD170"/>
  <c r="AF170"/>
  <c r="AH170"/>
  <c r="AJ170"/>
  <c r="AL170"/>
  <c r="J176"/>
  <c r="L176"/>
  <c r="N176"/>
  <c r="P176"/>
  <c r="R176"/>
  <c r="T176"/>
  <c r="V176"/>
  <c r="X176"/>
  <c r="Z176"/>
  <c r="AB176"/>
  <c r="AD176"/>
  <c r="AF176"/>
  <c r="AH176"/>
  <c r="AJ176"/>
  <c r="AL176"/>
  <c r="J177"/>
  <c r="L177"/>
  <c r="N177"/>
  <c r="P177"/>
  <c r="R177"/>
  <c r="T177"/>
  <c r="V177"/>
  <c r="X177"/>
  <c r="Z177"/>
  <c r="AB177"/>
  <c r="AD177"/>
  <c r="AF177"/>
  <c r="AH177"/>
  <c r="AJ177"/>
  <c r="AL177"/>
  <c r="J179"/>
  <c r="L179"/>
  <c r="N179"/>
  <c r="P179"/>
  <c r="R179"/>
  <c r="T179"/>
  <c r="V179"/>
  <c r="X179"/>
  <c r="Z179"/>
  <c r="AB179"/>
  <c r="AD179"/>
  <c r="AF179"/>
  <c r="AH179"/>
  <c r="AJ179"/>
  <c r="AL179"/>
  <c r="J180"/>
  <c r="L180"/>
  <c r="N180"/>
  <c r="P180"/>
  <c r="R180"/>
  <c r="T180"/>
  <c r="V180"/>
  <c r="X180"/>
  <c r="Z180"/>
  <c r="AB180"/>
  <c r="AD180"/>
  <c r="AF180"/>
  <c r="AH180"/>
  <c r="AJ180"/>
  <c r="E231"/>
  <c r="F205" s="1"/>
  <c r="E230"/>
  <c r="F204" s="1"/>
  <c r="E187"/>
  <c r="G231"/>
  <c r="H205" s="1"/>
  <c r="G230"/>
  <c r="G209"/>
  <c r="G187"/>
  <c r="G214"/>
  <c r="G204"/>
  <c r="I231"/>
  <c r="J205" s="1"/>
  <c r="I230"/>
  <c r="I204" s="1"/>
  <c r="I209"/>
  <c r="I205"/>
  <c r="I187"/>
  <c r="I214"/>
  <c r="I199"/>
  <c r="I198"/>
  <c r="I197"/>
  <c r="I196"/>
  <c r="K231"/>
  <c r="L205" s="1"/>
  <c r="K230"/>
  <c r="K209"/>
  <c r="K187"/>
  <c r="K214"/>
  <c r="K204"/>
  <c r="K199"/>
  <c r="K198"/>
  <c r="K197"/>
  <c r="K196"/>
  <c r="M231"/>
  <c r="N205" s="1"/>
  <c r="M230"/>
  <c r="M209"/>
  <c r="M205"/>
  <c r="M187"/>
  <c r="M214"/>
  <c r="M204"/>
  <c r="M199"/>
  <c r="M198"/>
  <c r="M197"/>
  <c r="M196"/>
  <c r="O231"/>
  <c r="P205" s="1"/>
  <c r="O230"/>
  <c r="O209"/>
  <c r="O187"/>
  <c r="O214"/>
  <c r="O204"/>
  <c r="O199"/>
  <c r="O198"/>
  <c r="O197"/>
  <c r="O196"/>
  <c r="Q231"/>
  <c r="R205" s="1"/>
  <c r="Q230"/>
  <c r="Q204" s="1"/>
  <c r="Q209"/>
  <c r="Q205"/>
  <c r="Q187"/>
  <c r="Q214"/>
  <c r="Q199"/>
  <c r="Q198"/>
  <c r="Q197"/>
  <c r="Q196"/>
  <c r="S231"/>
  <c r="S230"/>
  <c r="S215"/>
  <c r="S213"/>
  <c r="S211"/>
  <c r="S209"/>
  <c r="S207"/>
  <c r="S205"/>
  <c r="S187"/>
  <c r="S214"/>
  <c r="S212"/>
  <c r="S210"/>
  <c r="S208"/>
  <c r="S206"/>
  <c r="S204"/>
  <c r="S199"/>
  <c r="S198"/>
  <c r="S197"/>
  <c r="S196"/>
  <c r="U231"/>
  <c r="U230"/>
  <c r="U215"/>
  <c r="U213"/>
  <c r="U211"/>
  <c r="U209"/>
  <c r="U207"/>
  <c r="U205"/>
  <c r="U187"/>
  <c r="U214"/>
  <c r="U212"/>
  <c r="U210"/>
  <c r="U208"/>
  <c r="U206"/>
  <c r="U204"/>
  <c r="U199"/>
  <c r="U198"/>
  <c r="U197"/>
  <c r="U196"/>
  <c r="W231"/>
  <c r="W230"/>
  <c r="W215"/>
  <c r="W213"/>
  <c r="W211"/>
  <c r="W209"/>
  <c r="W207"/>
  <c r="W205"/>
  <c r="W187"/>
  <c r="W214"/>
  <c r="W212"/>
  <c r="W210"/>
  <c r="W208"/>
  <c r="W206"/>
  <c r="W204"/>
  <c r="W199"/>
  <c r="W198"/>
  <c r="W197"/>
  <c r="W196"/>
  <c r="Y231"/>
  <c r="Y230"/>
  <c r="Y215"/>
  <c r="Y213"/>
  <c r="Y211"/>
  <c r="Y209"/>
  <c r="Y207"/>
  <c r="Y205"/>
  <c r="Y187"/>
  <c r="Y214"/>
  <c r="Y212"/>
  <c r="Y210"/>
  <c r="Y208"/>
  <c r="Y206"/>
  <c r="Y204"/>
  <c r="Y199"/>
  <c r="Y198"/>
  <c r="Y197"/>
  <c r="Y196"/>
  <c r="AA231"/>
  <c r="AA230"/>
  <c r="AA215"/>
  <c r="AA213"/>
  <c r="AA211"/>
  <c r="AA209"/>
  <c r="AA207"/>
  <c r="AA205"/>
  <c r="AA187"/>
  <c r="AA214"/>
  <c r="AA212"/>
  <c r="AA210"/>
  <c r="AA208"/>
  <c r="AA206"/>
  <c r="AA204"/>
  <c r="AA199"/>
  <c r="AA198"/>
  <c r="AA197"/>
  <c r="AA196"/>
  <c r="AC231"/>
  <c r="AC230"/>
  <c r="AC215"/>
  <c r="AC213"/>
  <c r="AC211"/>
  <c r="AC209"/>
  <c r="AC207"/>
  <c r="AC205"/>
  <c r="AC187"/>
  <c r="AC214"/>
  <c r="AC212"/>
  <c r="AC210"/>
  <c r="AC208"/>
  <c r="AC206"/>
  <c r="AC204"/>
  <c r="AC199"/>
  <c r="AC198"/>
  <c r="AC197"/>
  <c r="AC196"/>
  <c r="AE231"/>
  <c r="AE230"/>
  <c r="AE215"/>
  <c r="AE213"/>
  <c r="AE211"/>
  <c r="AE209"/>
  <c r="AE207"/>
  <c r="AE205"/>
  <c r="AE187"/>
  <c r="AE214"/>
  <c r="AE212"/>
  <c r="AE210"/>
  <c r="AE208"/>
  <c r="AE206"/>
  <c r="AE204"/>
  <c r="AE199"/>
  <c r="AE198"/>
  <c r="AE197"/>
  <c r="AE196"/>
  <c r="AG231"/>
  <c r="AG230"/>
  <c r="AG215"/>
  <c r="AG213"/>
  <c r="AG211"/>
  <c r="AG209"/>
  <c r="AG207"/>
  <c r="AG205"/>
  <c r="AG187"/>
  <c r="AG214"/>
  <c r="AG212"/>
  <c r="AG210"/>
  <c r="AG208"/>
  <c r="AG206"/>
  <c r="AG204"/>
  <c r="AG199"/>
  <c r="AG198"/>
  <c r="AG197"/>
  <c r="AG196"/>
  <c r="AI231"/>
  <c r="AI230"/>
  <c r="AI215"/>
  <c r="AI213"/>
  <c r="AI211"/>
  <c r="AI209"/>
  <c r="AI207"/>
  <c r="AI205"/>
  <c r="AI187"/>
  <c r="AI214"/>
  <c r="AI212"/>
  <c r="AI210"/>
  <c r="AI208"/>
  <c r="AI206"/>
  <c r="AI204"/>
  <c r="AI199"/>
  <c r="AI198"/>
  <c r="AI197"/>
  <c r="AI196"/>
  <c r="AK231"/>
  <c r="AK230"/>
  <c r="AK215"/>
  <c r="AK213"/>
  <c r="AK211"/>
  <c r="AK209"/>
  <c r="AK207"/>
  <c r="AK205"/>
  <c r="AK187"/>
  <c r="AK214"/>
  <c r="AK212"/>
  <c r="AK210"/>
  <c r="AK208"/>
  <c r="AK206"/>
  <c r="AK204"/>
  <c r="AK199"/>
  <c r="AK198"/>
  <c r="AK197"/>
  <c r="AK196"/>
  <c r="E232"/>
  <c r="F206" s="1"/>
  <c r="E185"/>
  <c r="G232"/>
  <c r="H206" s="1"/>
  <c r="G185"/>
  <c r="I232"/>
  <c r="I206" s="1"/>
  <c r="I185"/>
  <c r="K232"/>
  <c r="L206" s="1"/>
  <c r="K185"/>
  <c r="M232"/>
  <c r="M206" s="1"/>
  <c r="M185"/>
  <c r="O232"/>
  <c r="P206" s="1"/>
  <c r="O185"/>
  <c r="Q232"/>
  <c r="Q206" s="1"/>
  <c r="Q185"/>
  <c r="S232"/>
  <c r="S185"/>
  <c r="U232"/>
  <c r="U185"/>
  <c r="W232"/>
  <c r="W185"/>
  <c r="Y232"/>
  <c r="Y185"/>
  <c r="AA232"/>
  <c r="AA185"/>
  <c r="AC232"/>
  <c r="AC185"/>
  <c r="AE232"/>
  <c r="AE185"/>
  <c r="AG232"/>
  <c r="AG185"/>
  <c r="AI232"/>
  <c r="AI185"/>
  <c r="AK232"/>
  <c r="AK185"/>
  <c r="E234"/>
  <c r="F208" s="1"/>
  <c r="E233"/>
  <c r="F207" s="1"/>
  <c r="G234"/>
  <c r="G208" s="1"/>
  <c r="G233"/>
  <c r="H207" s="1"/>
  <c r="I234"/>
  <c r="J208" s="1"/>
  <c r="I233"/>
  <c r="J207" s="1"/>
  <c r="K234"/>
  <c r="K208" s="1"/>
  <c r="K233"/>
  <c r="L207" s="1"/>
  <c r="M234"/>
  <c r="N208" s="1"/>
  <c r="M233"/>
  <c r="N207" s="1"/>
  <c r="O234"/>
  <c r="O208" s="1"/>
  <c r="O233"/>
  <c r="P207" s="1"/>
  <c r="Q234"/>
  <c r="R208" s="1"/>
  <c r="Q233"/>
  <c r="R207" s="1"/>
  <c r="S234"/>
  <c r="S233"/>
  <c r="U234"/>
  <c r="U233"/>
  <c r="W234"/>
  <c r="W233"/>
  <c r="Y234"/>
  <c r="Y233"/>
  <c r="AA234"/>
  <c r="AA233"/>
  <c r="AC234"/>
  <c r="AC233"/>
  <c r="AE234"/>
  <c r="AE233"/>
  <c r="AG234"/>
  <c r="AG233"/>
  <c r="AI234"/>
  <c r="AI233"/>
  <c r="AK234"/>
  <c r="AK233"/>
  <c r="E237"/>
  <c r="F211" s="1"/>
  <c r="E236"/>
  <c r="F210" s="1"/>
  <c r="G237"/>
  <c r="H211" s="1"/>
  <c r="G236"/>
  <c r="I237"/>
  <c r="J211" s="1"/>
  <c r="I236"/>
  <c r="K237"/>
  <c r="L211" s="1"/>
  <c r="K236"/>
  <c r="M237"/>
  <c r="N211" s="1"/>
  <c r="M236"/>
  <c r="O237"/>
  <c r="P211" s="1"/>
  <c r="O236"/>
  <c r="Q237"/>
  <c r="R211" s="1"/>
  <c r="Q236"/>
  <c r="S237"/>
  <c r="S236"/>
  <c r="U237"/>
  <c r="U236"/>
  <c r="W237"/>
  <c r="W236"/>
  <c r="Y237"/>
  <c r="Y236"/>
  <c r="AA237"/>
  <c r="AA236"/>
  <c r="AC237"/>
  <c r="AC236"/>
  <c r="AE237"/>
  <c r="AE236"/>
  <c r="AG237"/>
  <c r="AG236"/>
  <c r="AI237"/>
  <c r="AI236"/>
  <c r="AK237"/>
  <c r="AK236"/>
  <c r="E241"/>
  <c r="F215" s="1"/>
  <c r="E239"/>
  <c r="F213" s="1"/>
  <c r="E238"/>
  <c r="F212" s="1"/>
  <c r="E186"/>
  <c r="G241"/>
  <c r="H215" s="1"/>
  <c r="G239"/>
  <c r="H213" s="1"/>
  <c r="G238"/>
  <c r="G212" s="1"/>
  <c r="G186"/>
  <c r="I241"/>
  <c r="J215" s="1"/>
  <c r="I239"/>
  <c r="J213" s="1"/>
  <c r="I238"/>
  <c r="J212" s="1"/>
  <c r="I186"/>
  <c r="K241"/>
  <c r="L215" s="1"/>
  <c r="K239"/>
  <c r="L213" s="1"/>
  <c r="K238"/>
  <c r="K212" s="1"/>
  <c r="K186"/>
  <c r="M241"/>
  <c r="N215" s="1"/>
  <c r="M239"/>
  <c r="N213" s="1"/>
  <c r="M238"/>
  <c r="N212" s="1"/>
  <c r="M186"/>
  <c r="O241"/>
  <c r="P215" s="1"/>
  <c r="O239"/>
  <c r="P213" s="1"/>
  <c r="O238"/>
  <c r="O212" s="1"/>
  <c r="O186"/>
  <c r="Q241"/>
  <c r="R215" s="1"/>
  <c r="Q239"/>
  <c r="R213" s="1"/>
  <c r="Q238"/>
  <c r="R212" s="1"/>
  <c r="Q186"/>
  <c r="S241"/>
  <c r="S239"/>
  <c r="S238"/>
  <c r="S186"/>
  <c r="U241"/>
  <c r="U239"/>
  <c r="U238"/>
  <c r="U186"/>
  <c r="W241"/>
  <c r="W239"/>
  <c r="W238"/>
  <c r="W186"/>
  <c r="Y241"/>
  <c r="Y239"/>
  <c r="Y238"/>
  <c r="Y186"/>
  <c r="AA241"/>
  <c r="AA239"/>
  <c r="AA238"/>
  <c r="AA186"/>
  <c r="AC241"/>
  <c r="AC239"/>
  <c r="AC238"/>
  <c r="AC186"/>
  <c r="AE241"/>
  <c r="AE239"/>
  <c r="AE238"/>
  <c r="AE186"/>
  <c r="AG241"/>
  <c r="AG239"/>
  <c r="AG238"/>
  <c r="AG186"/>
  <c r="AI241"/>
  <c r="AI239"/>
  <c r="AI238"/>
  <c r="AI186"/>
  <c r="AK241"/>
  <c r="AK239"/>
  <c r="AK238"/>
  <c r="AK186"/>
  <c r="F188"/>
  <c r="J188"/>
  <c r="L188"/>
  <c r="N188"/>
  <c r="P188"/>
  <c r="R188"/>
  <c r="T188"/>
  <c r="V188"/>
  <c r="X188"/>
  <c r="Z188"/>
  <c r="AB188"/>
  <c r="AD188"/>
  <c r="AF188"/>
  <c r="AH188"/>
  <c r="AJ188"/>
  <c r="AL188"/>
  <c r="I61"/>
  <c r="K61"/>
  <c r="M61"/>
  <c r="O61"/>
  <c r="Q61"/>
  <c r="S61"/>
  <c r="U61"/>
  <c r="W61"/>
  <c r="Y61"/>
  <c r="AA61"/>
  <c r="AC61"/>
  <c r="AE61"/>
  <c r="AG61"/>
  <c r="AI61"/>
  <c r="AK61"/>
  <c r="I125"/>
  <c r="K125"/>
  <c r="M125"/>
  <c r="O125"/>
  <c r="Q125"/>
  <c r="S125"/>
  <c r="U125"/>
  <c r="W125"/>
  <c r="Y125"/>
  <c r="AA125"/>
  <c r="AC125"/>
  <c r="AE125"/>
  <c r="AG125"/>
  <c r="AI125"/>
  <c r="AK125"/>
  <c r="I127"/>
  <c r="K127"/>
  <c r="M127"/>
  <c r="O127"/>
  <c r="Q127"/>
  <c r="S127"/>
  <c r="U127"/>
  <c r="W127"/>
  <c r="Y127"/>
  <c r="AA127"/>
  <c r="AC127"/>
  <c r="AE127"/>
  <c r="AG127"/>
  <c r="AI127"/>
  <c r="AK127"/>
  <c r="I128"/>
  <c r="K128"/>
  <c r="M128"/>
  <c r="O128"/>
  <c r="Q128"/>
  <c r="S128"/>
  <c r="U128"/>
  <c r="W128"/>
  <c r="Y128"/>
  <c r="AA128"/>
  <c r="AC128"/>
  <c r="AE128"/>
  <c r="AG128"/>
  <c r="AI128"/>
  <c r="AK128"/>
  <c r="I130"/>
  <c r="K130"/>
  <c r="M130"/>
  <c r="O130"/>
  <c r="Q130"/>
  <c r="S130"/>
  <c r="U130"/>
  <c r="W130"/>
  <c r="Y130"/>
  <c r="AA130"/>
  <c r="AC130"/>
  <c r="AE130"/>
  <c r="AG130"/>
  <c r="AI130"/>
  <c r="AK130"/>
  <c r="I131"/>
  <c r="K131"/>
  <c r="M131"/>
  <c r="O131"/>
  <c r="Q131"/>
  <c r="S131"/>
  <c r="U131"/>
  <c r="W131"/>
  <c r="Y131"/>
  <c r="AA131"/>
  <c r="AC131"/>
  <c r="AE131"/>
  <c r="AG131"/>
  <c r="AI131"/>
  <c r="AK131"/>
  <c r="I132"/>
  <c r="K132"/>
  <c r="M132"/>
  <c r="O132"/>
  <c r="Q132"/>
  <c r="S132"/>
  <c r="U132"/>
  <c r="W132"/>
  <c r="Y132"/>
  <c r="AA132"/>
  <c r="AC132"/>
  <c r="AE132"/>
  <c r="AG132"/>
  <c r="AI132"/>
  <c r="AK132"/>
  <c r="I135"/>
  <c r="K135"/>
  <c r="M135"/>
  <c r="O135"/>
  <c r="Q135"/>
  <c r="S135"/>
  <c r="U135"/>
  <c r="W135"/>
  <c r="Y135"/>
  <c r="AA135"/>
  <c r="AC135"/>
  <c r="AE135"/>
  <c r="AG135"/>
  <c r="AI135"/>
  <c r="AK135"/>
  <c r="I136"/>
  <c r="K136"/>
  <c r="M136"/>
  <c r="O136"/>
  <c r="Q136"/>
  <c r="S136"/>
  <c r="U136"/>
  <c r="W136"/>
  <c r="Y136"/>
  <c r="AA136"/>
  <c r="AC136"/>
  <c r="AE136"/>
  <c r="AG136"/>
  <c r="AI136"/>
  <c r="AK136"/>
  <c r="I137"/>
  <c r="K137"/>
  <c r="M137"/>
  <c r="O137"/>
  <c r="Q137"/>
  <c r="S137"/>
  <c r="U137"/>
  <c r="W137"/>
  <c r="Y137"/>
  <c r="AA137"/>
  <c r="AC137"/>
  <c r="AE137"/>
  <c r="AG137"/>
  <c r="AI137"/>
  <c r="AK137"/>
  <c r="I138"/>
  <c r="K138"/>
  <c r="M138"/>
  <c r="O138"/>
  <c r="Q138"/>
  <c r="S138"/>
  <c r="U138"/>
  <c r="W138"/>
  <c r="Y138"/>
  <c r="AA138"/>
  <c r="AC138"/>
  <c r="AE138"/>
  <c r="AG138"/>
  <c r="AI138"/>
  <c r="AK138"/>
  <c r="I139"/>
  <c r="K139"/>
  <c r="M139"/>
  <c r="O139"/>
  <c r="Q139"/>
  <c r="S139"/>
  <c r="U139"/>
  <c r="W139"/>
  <c r="Y139"/>
  <c r="AA139"/>
  <c r="AC139"/>
  <c r="AE139"/>
  <c r="AG139"/>
  <c r="AI139"/>
  <c r="AK139"/>
  <c r="I141"/>
  <c r="K141"/>
  <c r="M141"/>
  <c r="O141"/>
  <c r="Q141"/>
  <c r="S141"/>
  <c r="U141"/>
  <c r="W141"/>
  <c r="Y141"/>
  <c r="AA141"/>
  <c r="AC141"/>
  <c r="AE141"/>
  <c r="AG141"/>
  <c r="AI141"/>
  <c r="AK141"/>
  <c r="I147"/>
  <c r="K147"/>
  <c r="M147"/>
  <c r="O147"/>
  <c r="Q147"/>
  <c r="S147"/>
  <c r="U147"/>
  <c r="W147"/>
  <c r="Y147"/>
  <c r="AA147"/>
  <c r="AC147"/>
  <c r="AE147"/>
  <c r="AG147"/>
  <c r="AI147"/>
  <c r="AK147"/>
  <c r="I149"/>
  <c r="K149"/>
  <c r="M149"/>
  <c r="O149"/>
  <c r="Q149"/>
  <c r="S149"/>
  <c r="U149"/>
  <c r="W149"/>
  <c r="Y149"/>
  <c r="AA149"/>
  <c r="AC149"/>
  <c r="AE149"/>
  <c r="AG149"/>
  <c r="AI149"/>
  <c r="AK149"/>
  <c r="I155"/>
  <c r="K155"/>
  <c r="M155"/>
  <c r="O155"/>
  <c r="Q155"/>
  <c r="S155"/>
  <c r="U155"/>
  <c r="W155"/>
  <c r="Y155"/>
  <c r="AA155"/>
  <c r="AC155"/>
  <c r="AE155"/>
  <c r="AG155"/>
  <c r="AI155"/>
  <c r="AK155"/>
  <c r="I159"/>
  <c r="K159"/>
  <c r="M159"/>
  <c r="O159"/>
  <c r="Q159"/>
  <c r="S159"/>
  <c r="U159"/>
  <c r="W159"/>
  <c r="Y159"/>
  <c r="AA159"/>
  <c r="AC159"/>
  <c r="AE159"/>
  <c r="AG159"/>
  <c r="AI159"/>
  <c r="AK159"/>
  <c r="I161"/>
  <c r="K161"/>
  <c r="M161"/>
  <c r="O161"/>
  <c r="Q161"/>
  <c r="S161"/>
  <c r="U161"/>
  <c r="W161"/>
  <c r="Y161"/>
  <c r="AA161"/>
  <c r="AC161"/>
  <c r="AE161"/>
  <c r="AG161"/>
  <c r="AI161"/>
  <c r="AK161"/>
  <c r="I163"/>
  <c r="K163"/>
  <c r="M163"/>
  <c r="O163"/>
  <c r="Q163"/>
  <c r="S163"/>
  <c r="U163"/>
  <c r="W163"/>
  <c r="Y163"/>
  <c r="AA163"/>
  <c r="AC163"/>
  <c r="AE163"/>
  <c r="AG163"/>
  <c r="AI163"/>
  <c r="AK163"/>
  <c r="I164"/>
  <c r="K164"/>
  <c r="M164"/>
  <c r="O164"/>
  <c r="Q164"/>
  <c r="S164"/>
  <c r="U164"/>
  <c r="W164"/>
  <c r="Y164"/>
  <c r="AA164"/>
  <c r="AC164"/>
  <c r="AE164"/>
  <c r="AG164"/>
  <c r="AI164"/>
  <c r="AK164"/>
  <c r="I165"/>
  <c r="K165"/>
  <c r="M165"/>
  <c r="O165"/>
  <c r="Q165"/>
  <c r="S165"/>
  <c r="U165"/>
  <c r="W165"/>
  <c r="Y165"/>
  <c r="AA165"/>
  <c r="AC165"/>
  <c r="AE165"/>
  <c r="AG165"/>
  <c r="AI165"/>
  <c r="AK165"/>
  <c r="I166"/>
  <c r="K166"/>
  <c r="M166"/>
  <c r="O166"/>
  <c r="Q166"/>
  <c r="S166"/>
  <c r="U166"/>
  <c r="W166"/>
  <c r="Y166"/>
  <c r="AA166"/>
  <c r="AC166"/>
  <c r="AE166"/>
  <c r="AG166"/>
  <c r="AI166"/>
  <c r="AK166"/>
  <c r="I167"/>
  <c r="K167"/>
  <c r="M167"/>
  <c r="O167"/>
  <c r="Q167"/>
  <c r="S167"/>
  <c r="U167"/>
  <c r="W167"/>
  <c r="Y167"/>
  <c r="AA167"/>
  <c r="AC167"/>
  <c r="AE167"/>
  <c r="AG167"/>
  <c r="AI167"/>
  <c r="AK167"/>
  <c r="I168"/>
  <c r="K168"/>
  <c r="M168"/>
  <c r="O168"/>
  <c r="Q168"/>
  <c r="S168"/>
  <c r="U168"/>
  <c r="W168"/>
  <c r="Y168"/>
  <c r="AA168"/>
  <c r="AC168"/>
  <c r="AE168"/>
  <c r="AG168"/>
  <c r="AI168"/>
  <c r="AK168"/>
  <c r="I169"/>
  <c r="K169"/>
  <c r="M169"/>
  <c r="O169"/>
  <c r="Q169"/>
  <c r="S169"/>
  <c r="U169"/>
  <c r="W169"/>
  <c r="Y169"/>
  <c r="AA169"/>
  <c r="AC169"/>
  <c r="AE169"/>
  <c r="AG169"/>
  <c r="AI169"/>
  <c r="AK169"/>
  <c r="I170"/>
  <c r="K170"/>
  <c r="M170"/>
  <c r="O170"/>
  <c r="Q170"/>
  <c r="S170"/>
  <c r="U170"/>
  <c r="W170"/>
  <c r="Y170"/>
  <c r="AA170"/>
  <c r="AC170"/>
  <c r="AE170"/>
  <c r="AG170"/>
  <c r="AI170"/>
  <c r="AK170"/>
  <c r="I176"/>
  <c r="K176"/>
  <c r="M176"/>
  <c r="O176"/>
  <c r="Q176"/>
  <c r="S176"/>
  <c r="U176"/>
  <c r="W176"/>
  <c r="Y176"/>
  <c r="AA176"/>
  <c r="AC176"/>
  <c r="AE176"/>
  <c r="AG176"/>
  <c r="AI176"/>
  <c r="AK176"/>
  <c r="I177"/>
  <c r="K177"/>
  <c r="M177"/>
  <c r="O177"/>
  <c r="Q177"/>
  <c r="S177"/>
  <c r="U177"/>
  <c r="W177"/>
  <c r="Y177"/>
  <c r="AA177"/>
  <c r="AC177"/>
  <c r="AE177"/>
  <c r="AG177"/>
  <c r="AI177"/>
  <c r="AK177"/>
  <c r="I179"/>
  <c r="K179"/>
  <c r="M179"/>
  <c r="O179"/>
  <c r="Q179"/>
  <c r="S179"/>
  <c r="U179"/>
  <c r="W179"/>
  <c r="Y179"/>
  <c r="AA179"/>
  <c r="AC179"/>
  <c r="AE179"/>
  <c r="AG179"/>
  <c r="AI179"/>
  <c r="AK179"/>
  <c r="I180"/>
  <c r="K180"/>
  <c r="M180"/>
  <c r="O180"/>
  <c r="Q180"/>
  <c r="S180"/>
  <c r="U180"/>
  <c r="W180"/>
  <c r="Y180"/>
  <c r="AA180"/>
  <c r="AC180"/>
  <c r="AE180"/>
  <c r="AG180"/>
  <c r="AI180"/>
  <c r="AK180"/>
  <c r="S60" i="6"/>
  <c r="S59"/>
  <c r="S58"/>
  <c r="S57"/>
  <c r="S97"/>
  <c r="P97"/>
  <c r="O97"/>
  <c r="N97"/>
  <c r="M97"/>
  <c r="L97"/>
  <c r="K97"/>
  <c r="J97"/>
  <c r="I97"/>
  <c r="H97"/>
  <c r="G97"/>
  <c r="S96"/>
  <c r="S98" s="1"/>
  <c r="P96"/>
  <c r="P98" s="1"/>
  <c r="O96"/>
  <c r="O98" s="1"/>
  <c r="N96"/>
  <c r="N98" s="1"/>
  <c r="M96"/>
  <c r="M98" s="1"/>
  <c r="L96"/>
  <c r="L98" s="1"/>
  <c r="K96"/>
  <c r="K98" s="1"/>
  <c r="J96"/>
  <c r="J98" s="1"/>
  <c r="I96"/>
  <c r="I98" s="1"/>
  <c r="H96"/>
  <c r="H98" s="1"/>
  <c r="G96"/>
  <c r="G98" s="1"/>
  <c r="S93"/>
  <c r="P93"/>
  <c r="O93"/>
  <c r="N93"/>
  <c r="M93"/>
  <c r="L93"/>
  <c r="K93"/>
  <c r="J93"/>
  <c r="I93"/>
  <c r="H93"/>
  <c r="G93"/>
  <c r="S92"/>
  <c r="S94" s="1"/>
  <c r="P92"/>
  <c r="P94" s="1"/>
  <c r="O92"/>
  <c r="O94" s="1"/>
  <c r="N92"/>
  <c r="N94" s="1"/>
  <c r="M92"/>
  <c r="M94" s="1"/>
  <c r="L92"/>
  <c r="L94" s="1"/>
  <c r="K92"/>
  <c r="K94" s="1"/>
  <c r="J92"/>
  <c r="J94" s="1"/>
  <c r="I92"/>
  <c r="I94" s="1"/>
  <c r="H92"/>
  <c r="H94" s="1"/>
  <c r="G92"/>
  <c r="G94" s="1"/>
  <c r="S74"/>
  <c r="S73"/>
  <c r="S72"/>
  <c r="S71"/>
  <c r="S70"/>
  <c r="F69"/>
  <c r="F68"/>
  <c r="P67"/>
  <c r="O67"/>
  <c r="N67"/>
  <c r="M67"/>
  <c r="L67"/>
  <c r="K67"/>
  <c r="J67"/>
  <c r="I67"/>
  <c r="H67"/>
  <c r="G67"/>
  <c r="F67"/>
  <c r="S67" s="1"/>
  <c r="F66"/>
  <c r="F65"/>
  <c r="P64"/>
  <c r="O64"/>
  <c r="N64"/>
  <c r="M64"/>
  <c r="L64"/>
  <c r="K64"/>
  <c r="J64"/>
  <c r="I64"/>
  <c r="H64"/>
  <c r="G64"/>
  <c r="F64"/>
  <c r="S64" s="1"/>
  <c r="R63"/>
  <c r="Q63"/>
  <c r="P63"/>
  <c r="O63"/>
  <c r="N63"/>
  <c r="M63"/>
  <c r="M51" s="1"/>
  <c r="L63"/>
  <c r="L51" s="1"/>
  <c r="K63"/>
  <c r="J63"/>
  <c r="I63"/>
  <c r="S62"/>
  <c r="S61"/>
  <c r="S56"/>
  <c r="S55"/>
  <c r="S54"/>
  <c r="S53"/>
  <c r="R52"/>
  <c r="Q52"/>
  <c r="P52"/>
  <c r="O52"/>
  <c r="N52"/>
  <c r="M52"/>
  <c r="L52"/>
  <c r="K52"/>
  <c r="J52"/>
  <c r="J9" s="1"/>
  <c r="I52"/>
  <c r="Q39"/>
  <c r="P39"/>
  <c r="O39"/>
  <c r="N39"/>
  <c r="M39"/>
  <c r="L39"/>
  <c r="K39"/>
  <c r="J39"/>
  <c r="I39"/>
  <c r="H39"/>
  <c r="G39"/>
  <c r="F39"/>
  <c r="S38"/>
  <c r="S37"/>
  <c r="S36"/>
  <c r="S35"/>
  <c r="G35"/>
  <c r="S34"/>
  <c r="G34"/>
  <c r="S33"/>
  <c r="S32"/>
  <c r="G32"/>
  <c r="S31"/>
  <c r="G31"/>
  <c r="S30"/>
  <c r="G30"/>
  <c r="S29"/>
  <c r="S28"/>
  <c r="S27"/>
  <c r="S26"/>
  <c r="G26"/>
  <c r="S25"/>
  <c r="G25"/>
  <c r="S24"/>
  <c r="S23"/>
  <c r="S22"/>
  <c r="S21"/>
  <c r="S20"/>
  <c r="S19"/>
  <c r="S18"/>
  <c r="R17"/>
  <c r="Q17"/>
  <c r="P17"/>
  <c r="P11" s="1"/>
  <c r="O17"/>
  <c r="O10" s="1"/>
  <c r="N17"/>
  <c r="N10" s="1"/>
  <c r="M17"/>
  <c r="M10" s="1"/>
  <c r="L17"/>
  <c r="K17"/>
  <c r="J17"/>
  <c r="I17"/>
  <c r="I11" s="1"/>
  <c r="H17"/>
  <c r="G17"/>
  <c r="F17"/>
  <c r="F10" s="1"/>
  <c r="S16"/>
  <c r="S15"/>
  <c r="S14"/>
  <c r="S13"/>
  <c r="R12"/>
  <c r="Q12"/>
  <c r="P12"/>
  <c r="O12"/>
  <c r="N12"/>
  <c r="M12"/>
  <c r="L12"/>
  <c r="K12"/>
  <c r="J12"/>
  <c r="I12"/>
  <c r="H12"/>
  <c r="G12"/>
  <c r="F12"/>
  <c r="R11"/>
  <c r="Q11"/>
  <c r="M11"/>
  <c r="M8" s="1"/>
  <c r="L11"/>
  <c r="K11"/>
  <c r="H11"/>
  <c r="G11"/>
  <c r="Q10"/>
  <c r="P10"/>
  <c r="L10"/>
  <c r="K10"/>
  <c r="H10"/>
  <c r="G10"/>
  <c r="R9"/>
  <c r="Q9"/>
  <c r="P9"/>
  <c r="O9"/>
  <c r="N9"/>
  <c r="M9"/>
  <c r="L9"/>
  <c r="K9"/>
  <c r="L8"/>
  <c r="AK228" i="9" l="1"/>
  <c r="AK226"/>
  <c r="AK227"/>
  <c r="AK225"/>
  <c r="AK224"/>
  <c r="AK223"/>
  <c r="AI228"/>
  <c r="AI226"/>
  <c r="AI227"/>
  <c r="AI225"/>
  <c r="AI224"/>
  <c r="AI223"/>
  <c r="AG228"/>
  <c r="AG226"/>
  <c r="AG227"/>
  <c r="AG224"/>
  <c r="AG225"/>
  <c r="AG223"/>
  <c r="AE228"/>
  <c r="AE226"/>
  <c r="AE227"/>
  <c r="AE224"/>
  <c r="AE225"/>
  <c r="AE223"/>
  <c r="AC228"/>
  <c r="AC226"/>
  <c r="AC227"/>
  <c r="AC224"/>
  <c r="AC225"/>
  <c r="AC223"/>
  <c r="AA228"/>
  <c r="AA226"/>
  <c r="AA227"/>
  <c r="AA224"/>
  <c r="AA225"/>
  <c r="AA223"/>
  <c r="Y228"/>
  <c r="Y226"/>
  <c r="Y227"/>
  <c r="Y224"/>
  <c r="Y225"/>
  <c r="Y223"/>
  <c r="W228"/>
  <c r="W226"/>
  <c r="W227"/>
  <c r="W224"/>
  <c r="W225"/>
  <c r="W223"/>
  <c r="U228"/>
  <c r="U226"/>
  <c r="U227"/>
  <c r="U224"/>
  <c r="U225"/>
  <c r="U223"/>
  <c r="S228"/>
  <c r="S226"/>
  <c r="S227"/>
  <c r="S224"/>
  <c r="S225"/>
  <c r="S223"/>
  <c r="Q228"/>
  <c r="Q226"/>
  <c r="Q227"/>
  <c r="Q224"/>
  <c r="Q225"/>
  <c r="Q223"/>
  <c r="O228"/>
  <c r="O226"/>
  <c r="O227"/>
  <c r="O224"/>
  <c r="O225"/>
  <c r="O223"/>
  <c r="M228"/>
  <c r="M226"/>
  <c r="M227"/>
  <c r="M224"/>
  <c r="M225"/>
  <c r="M223"/>
  <c r="K228"/>
  <c r="K226"/>
  <c r="K227"/>
  <c r="K224"/>
  <c r="K225"/>
  <c r="K223"/>
  <c r="I228"/>
  <c r="I226"/>
  <c r="I227"/>
  <c r="I224"/>
  <c r="I225"/>
  <c r="I223"/>
  <c r="G228"/>
  <c r="G226"/>
  <c r="G227"/>
  <c r="G224"/>
  <c r="G225"/>
  <c r="G223"/>
  <c r="AI222"/>
  <c r="AI220"/>
  <c r="AI218"/>
  <c r="AI221"/>
  <c r="AI219"/>
  <c r="AI217"/>
  <c r="AE222"/>
  <c r="AE220"/>
  <c r="AE218"/>
  <c r="AE221"/>
  <c r="AE219"/>
  <c r="AE217"/>
  <c r="AA222"/>
  <c r="AA220"/>
  <c r="AA218"/>
  <c r="AA221"/>
  <c r="AA219"/>
  <c r="AA217"/>
  <c r="W222"/>
  <c r="W220"/>
  <c r="W218"/>
  <c r="W221"/>
  <c r="W219"/>
  <c r="W217"/>
  <c r="S222"/>
  <c r="S220"/>
  <c r="S218"/>
  <c r="S221"/>
  <c r="S219"/>
  <c r="S217"/>
  <c r="O222"/>
  <c r="O220"/>
  <c r="O218"/>
  <c r="O221"/>
  <c r="O219"/>
  <c r="O217"/>
  <c r="K222"/>
  <c r="K220"/>
  <c r="K218"/>
  <c r="K221"/>
  <c r="K219"/>
  <c r="K217"/>
  <c r="G222"/>
  <c r="G220"/>
  <c r="G218"/>
  <c r="G221"/>
  <c r="G219"/>
  <c r="G217"/>
  <c r="K9"/>
  <c r="J58"/>
  <c r="AL227"/>
  <c r="AL225"/>
  <c r="AL228"/>
  <c r="AL226"/>
  <c r="AL223"/>
  <c r="AL224"/>
  <c r="AJ227"/>
  <c r="AJ225"/>
  <c r="AJ228"/>
  <c r="AJ226"/>
  <c r="AJ223"/>
  <c r="AJ224"/>
  <c r="AH227"/>
  <c r="AH225"/>
  <c r="AH228"/>
  <c r="AH226"/>
  <c r="AH223"/>
  <c r="AH224"/>
  <c r="AF227"/>
  <c r="AF228"/>
  <c r="AF226"/>
  <c r="AF225"/>
  <c r="AF223"/>
  <c r="AF224"/>
  <c r="AD227"/>
  <c r="AD228"/>
  <c r="AD226"/>
  <c r="AD225"/>
  <c r="AD223"/>
  <c r="AD224"/>
  <c r="AB227"/>
  <c r="AB228"/>
  <c r="AB226"/>
  <c r="AB225"/>
  <c r="AB223"/>
  <c r="AB224"/>
  <c r="Z227"/>
  <c r="Z228"/>
  <c r="Z226"/>
  <c r="Z225"/>
  <c r="Z223"/>
  <c r="Z224"/>
  <c r="X227"/>
  <c r="X228"/>
  <c r="X226"/>
  <c r="X225"/>
  <c r="X223"/>
  <c r="X224"/>
  <c r="V227"/>
  <c r="V228"/>
  <c r="V226"/>
  <c r="V225"/>
  <c r="V223"/>
  <c r="V224"/>
  <c r="T227"/>
  <c r="T228"/>
  <c r="T226"/>
  <c r="T225"/>
  <c r="T223"/>
  <c r="T224"/>
  <c r="R227"/>
  <c r="R228"/>
  <c r="R226"/>
  <c r="R225"/>
  <c r="R223"/>
  <c r="R224"/>
  <c r="P227"/>
  <c r="P228"/>
  <c r="P226"/>
  <c r="P225"/>
  <c r="P223"/>
  <c r="P224"/>
  <c r="N227"/>
  <c r="N228"/>
  <c r="N226"/>
  <c r="N225"/>
  <c r="N223"/>
  <c r="N224"/>
  <c r="L227"/>
  <c r="L228"/>
  <c r="L226"/>
  <c r="L225"/>
  <c r="L223"/>
  <c r="L224"/>
  <c r="J227"/>
  <c r="J228"/>
  <c r="J226"/>
  <c r="J225"/>
  <c r="J223"/>
  <c r="J224"/>
  <c r="H227"/>
  <c r="H228"/>
  <c r="H226"/>
  <c r="H225"/>
  <c r="H223"/>
  <c r="H224"/>
  <c r="F227"/>
  <c r="F228"/>
  <c r="F226"/>
  <c r="F225"/>
  <c r="F223"/>
  <c r="F224"/>
  <c r="AJ221"/>
  <c r="AJ219"/>
  <c r="AJ217"/>
  <c r="AJ222"/>
  <c r="AJ220"/>
  <c r="AJ218"/>
  <c r="AF221"/>
  <c r="AF219"/>
  <c r="AF217"/>
  <c r="AF222"/>
  <c r="AF220"/>
  <c r="AF218"/>
  <c r="AB221"/>
  <c r="AB219"/>
  <c r="AB217"/>
  <c r="AB222"/>
  <c r="AB220"/>
  <c r="AB218"/>
  <c r="X221"/>
  <c r="X219"/>
  <c r="X217"/>
  <c r="X222"/>
  <c r="X220"/>
  <c r="X218"/>
  <c r="T221"/>
  <c r="T219"/>
  <c r="T217"/>
  <c r="T222"/>
  <c r="T220"/>
  <c r="T218"/>
  <c r="P221"/>
  <c r="P219"/>
  <c r="P217"/>
  <c r="P222"/>
  <c r="P220"/>
  <c r="P218"/>
  <c r="L221"/>
  <c r="L219"/>
  <c r="L217"/>
  <c r="L222"/>
  <c r="L220"/>
  <c r="L218"/>
  <c r="H221"/>
  <c r="H219"/>
  <c r="H217"/>
  <c r="H222"/>
  <c r="H220"/>
  <c r="H218"/>
  <c r="Q208"/>
  <c r="Q212"/>
  <c r="Q207"/>
  <c r="Q211"/>
  <c r="Q215"/>
  <c r="O206"/>
  <c r="O210"/>
  <c r="O205"/>
  <c r="O213"/>
  <c r="M208"/>
  <c r="M212"/>
  <c r="M207"/>
  <c r="M211"/>
  <c r="M215"/>
  <c r="K206"/>
  <c r="K210"/>
  <c r="K205"/>
  <c r="K213"/>
  <c r="I208"/>
  <c r="I212"/>
  <c r="I207"/>
  <c r="I211"/>
  <c r="I215"/>
  <c r="G206"/>
  <c r="G210"/>
  <c r="G205"/>
  <c r="G213"/>
  <c r="R206"/>
  <c r="R210"/>
  <c r="P204"/>
  <c r="P208"/>
  <c r="P212"/>
  <c r="N206"/>
  <c r="N210"/>
  <c r="L204"/>
  <c r="L208"/>
  <c r="L212"/>
  <c r="J206"/>
  <c r="J210"/>
  <c r="H204"/>
  <c r="H208"/>
  <c r="H212"/>
  <c r="AK222"/>
  <c r="AK220"/>
  <c r="AK218"/>
  <c r="AK221"/>
  <c r="AK219"/>
  <c r="AK217"/>
  <c r="AG222"/>
  <c r="AG220"/>
  <c r="AG218"/>
  <c r="AG221"/>
  <c r="AG219"/>
  <c r="AG217"/>
  <c r="AC222"/>
  <c r="AC220"/>
  <c r="AC218"/>
  <c r="AC221"/>
  <c r="AC219"/>
  <c r="AC217"/>
  <c r="Y222"/>
  <c r="Y220"/>
  <c r="Y218"/>
  <c r="Y221"/>
  <c r="Y219"/>
  <c r="Y217"/>
  <c r="U222"/>
  <c r="U220"/>
  <c r="U218"/>
  <c r="U221"/>
  <c r="U219"/>
  <c r="U217"/>
  <c r="Q222"/>
  <c r="Q220"/>
  <c r="Q218"/>
  <c r="Q221"/>
  <c r="Q219"/>
  <c r="Q217"/>
  <c r="M222"/>
  <c r="M220"/>
  <c r="M218"/>
  <c r="M221"/>
  <c r="M219"/>
  <c r="M217"/>
  <c r="I222"/>
  <c r="I220"/>
  <c r="I218"/>
  <c r="I221"/>
  <c r="I219"/>
  <c r="I217"/>
  <c r="G9"/>
  <c r="H58"/>
  <c r="AL221"/>
  <c r="AL219"/>
  <c r="AL217"/>
  <c r="AL222"/>
  <c r="AL220"/>
  <c r="AL218"/>
  <c r="AH221"/>
  <c r="AH219"/>
  <c r="AH217"/>
  <c r="AH222"/>
  <c r="AH220"/>
  <c r="AH218"/>
  <c r="AD221"/>
  <c r="AD219"/>
  <c r="AD217"/>
  <c r="AD222"/>
  <c r="AD220"/>
  <c r="AD218"/>
  <c r="Z221"/>
  <c r="Z219"/>
  <c r="Z217"/>
  <c r="Z222"/>
  <c r="Z220"/>
  <c r="Z218"/>
  <c r="V221"/>
  <c r="V219"/>
  <c r="V217"/>
  <c r="V222"/>
  <c r="V220"/>
  <c r="V218"/>
  <c r="R221"/>
  <c r="R219"/>
  <c r="R217"/>
  <c r="R222"/>
  <c r="R220"/>
  <c r="R218"/>
  <c r="N221"/>
  <c r="N219"/>
  <c r="N217"/>
  <c r="N222"/>
  <c r="N220"/>
  <c r="N218"/>
  <c r="J221"/>
  <c r="J219"/>
  <c r="J217"/>
  <c r="J222"/>
  <c r="J220"/>
  <c r="J218"/>
  <c r="F221"/>
  <c r="F219"/>
  <c r="F217"/>
  <c r="F222"/>
  <c r="F220"/>
  <c r="F218"/>
  <c r="Q210"/>
  <c r="Q213"/>
  <c r="O207"/>
  <c r="O211"/>
  <c r="O215"/>
  <c r="M210"/>
  <c r="M213"/>
  <c r="K207"/>
  <c r="K211"/>
  <c r="K215"/>
  <c r="I210"/>
  <c r="I213"/>
  <c r="G207"/>
  <c r="G211"/>
  <c r="G215"/>
  <c r="R204"/>
  <c r="P210"/>
  <c r="N204"/>
  <c r="L210"/>
  <c r="J204"/>
  <c r="H210"/>
  <c r="N11" i="6"/>
  <c r="I10"/>
  <c r="O11"/>
  <c r="I9"/>
  <c r="S12"/>
  <c r="F11"/>
  <c r="O51"/>
  <c r="O8" s="1"/>
  <c r="Q51"/>
  <c r="Q8" s="1"/>
  <c r="P51"/>
  <c r="R51"/>
  <c r="R8" s="1"/>
  <c r="N51"/>
  <c r="N8" s="1"/>
  <c r="J10"/>
  <c r="P8"/>
  <c r="R10"/>
  <c r="S63"/>
  <c r="J51"/>
  <c r="K51"/>
  <c r="K8" s="1"/>
  <c r="S52"/>
  <c r="S9" s="1"/>
  <c r="I51"/>
  <c r="I8" s="1"/>
  <c r="J11"/>
  <c r="S17"/>
  <c r="H8"/>
  <c r="H9"/>
  <c r="G58" i="9" l="1"/>
  <c r="F9"/>
  <c r="K58"/>
  <c r="L9"/>
  <c r="S51" i="6"/>
  <c r="S10"/>
  <c r="J8"/>
  <c r="S11"/>
  <c r="G8"/>
  <c r="G9"/>
  <c r="M9" i="9" l="1"/>
  <c r="L58"/>
  <c r="E9"/>
  <c r="E58" s="1"/>
  <c r="F58"/>
  <c r="S8" i="6"/>
  <c r="M58" i="9" l="1"/>
  <c r="N9"/>
  <c r="F9" i="6"/>
  <c r="F8"/>
  <c r="O9" i="9" l="1"/>
  <c r="N58"/>
  <c r="O58" l="1"/>
  <c r="P9"/>
  <c r="Q9" l="1"/>
  <c r="P58"/>
  <c r="Q58" l="1"/>
  <c r="R9"/>
  <c r="S9" l="1"/>
  <c r="R58"/>
  <c r="S58" l="1"/>
  <c r="T9"/>
  <c r="U9" l="1"/>
  <c r="T58"/>
  <c r="U58" l="1"/>
  <c r="V9"/>
  <c r="W9" l="1"/>
  <c r="V58"/>
  <c r="W58" l="1"/>
  <c r="X9"/>
  <c r="Y9" l="1"/>
  <c r="X58"/>
  <c r="Y58" l="1"/>
  <c r="Z9"/>
  <c r="AA9" l="1"/>
  <c r="Z58"/>
  <c r="AA58" l="1"/>
  <c r="AB9"/>
  <c r="AC9" l="1"/>
  <c r="AB58"/>
  <c r="AC58" l="1"/>
  <c r="AD9"/>
  <c r="AE9" l="1"/>
  <c r="AD58"/>
  <c r="AE58" l="1"/>
  <c r="AF9"/>
  <c r="AG9" l="1"/>
  <c r="AF58"/>
  <c r="AG58" l="1"/>
  <c r="AH9"/>
  <c r="AI9" l="1"/>
  <c r="AH58"/>
  <c r="AI58" l="1"/>
  <c r="AJ9"/>
  <c r="AK9" l="1"/>
  <c r="AJ58"/>
  <c r="AK58" l="1"/>
  <c r="AL9"/>
  <c r="AL58" s="1"/>
</calcChain>
</file>

<file path=xl/sharedStrings.xml><?xml version="1.0" encoding="utf-8"?>
<sst xmlns="http://schemas.openxmlformats.org/spreadsheetml/2006/main" count="1631" uniqueCount="620">
  <si>
    <t>Lp.</t>
  </si>
  <si>
    <t>1.1</t>
  </si>
  <si>
    <t>1.1.1</t>
  </si>
  <si>
    <t>1.1.2</t>
  </si>
  <si>
    <t>1.2</t>
  </si>
  <si>
    <t>1.2.1</t>
  </si>
  <si>
    <t>1.2.2</t>
  </si>
  <si>
    <t>w złotych</t>
  </si>
  <si>
    <t>Nazwa i cel przedsięwzięcia</t>
  </si>
  <si>
    <t>Jednostka organizacyjna odpowiedzialna za realizację lub koordynująca wykonywanie przedsięwzięcia</t>
  </si>
  <si>
    <t>Okres realizacji</t>
  </si>
  <si>
    <t>Łączne nakłady finansowe
(w zł)</t>
  </si>
  <si>
    <t>Limit
zobowiązań
(w zł)</t>
  </si>
  <si>
    <t>od</t>
  </si>
  <si>
    <t>do</t>
  </si>
  <si>
    <t>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</si>
  <si>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</si>
  <si>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</si>
  <si>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</si>
  <si>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</si>
  <si>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</si>
  <si>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</si>
  <si>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</si>
  <si>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</si>
  <si>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</si>
  <si>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2022r.</t>
  </si>
  <si>
    <t>2023r.</t>
  </si>
  <si>
    <t>1.</t>
  </si>
  <si>
    <t>Wydatki na przedsięwzięcia - ogółem ( 1.1 + 1.2 +1.3) z  tego:</t>
  </si>
  <si>
    <t>1.a</t>
  </si>
  <si>
    <t xml:space="preserve"> - wydatki bieżące</t>
  </si>
  <si>
    <t>1.b</t>
  </si>
  <si>
    <t xml:space="preserve"> - wydatki majątkowe</t>
  </si>
  <si>
    <t>Wydatki na programy, projekty lub zadania zwiazane z programami realizowanymi z udziałem środków, o których mowa w art..5 ust.1 pkt 2 i 3 ustawy z dnia 27 sierpnia 2009 r. o finansach publicznych ( Dz.U. Nr 157, poz.1240, z póź.zm.), z tego:</t>
  </si>
  <si>
    <t>1.1.1.1</t>
  </si>
  <si>
    <t>Przeciwdziałanie wykluczeniu cyfrowemu -Internet dla mieszkańców Gminy Kobylanka</t>
  </si>
  <si>
    <t>Urząd Gminy Kobylanka     SRGK 3.4.1.1</t>
  </si>
  <si>
    <t xml:space="preserve"> - </t>
  </si>
  <si>
    <t>1.1.1.2</t>
  </si>
  <si>
    <t>Integracja społeczna w Powiecie Stargardzkim  POKL</t>
  </si>
  <si>
    <t xml:space="preserve">Urząd Gminy Kobylanka     </t>
  </si>
  <si>
    <t>1.1.1.3</t>
  </si>
  <si>
    <t>projekt w ramach POKL " Myślę, liczę, działam" - Wyrównywanie szans edukacyjnych uczniów z grup o utrudnionym dostępie do edukacji, zmniejszenie różnic w jakości usług edukacyjnych</t>
  </si>
  <si>
    <t>Urząd Gminy Kobylanka</t>
  </si>
  <si>
    <t>1.1.1.4</t>
  </si>
  <si>
    <t xml:space="preserve">Powołanie "Forum Przedsiębiorców" </t>
  </si>
  <si>
    <t>Urząd Gminy Kobylanka     SRGK 1.1.2.1</t>
  </si>
  <si>
    <t>Zorganizowanie cyklu szkoleń i spotkań dla lokalnych rolników, mających na celu doradztwo w zakresie pozyskania dofinansowania z UE i podnoszenia efektywności działalności rolniczej - 1 szkolenie/rok</t>
  </si>
  <si>
    <t>Urząd Gminy Kobylanka     SRGK 1.2.1.1</t>
  </si>
  <si>
    <t>Zorganizowanie cyklu szkoleń i spotkań dla lokalnych rolników, mających na celu doradztwo w zakresie pozyskania dofinansowania z UE  - 1 szkolenie/rok - Promocja i wspieranie rozwoju rolnictwa ekologicznego</t>
  </si>
  <si>
    <t>Urząd Gminy Kobylanka     SRGK 1.2.2.1</t>
  </si>
  <si>
    <t>Zorganizowanie cyklu szkoleń i spotkań dla lokalnych rolników, mających na celu doradztwo w zakresie pozyskania dofinansowania z UE  - 1 szkolenie/rok  -Inicjowanie zadań na rzecz tworzenia gospodarstw agroturystycznych i ekologicznych</t>
  </si>
  <si>
    <t>Urząd Gminy Kobylanka     SRGK 1.2.3.1</t>
  </si>
  <si>
    <t>POKL "Wsparcie JST w zakresie wdrożenia standartów świadczenia elektronicznych usług publicznych oraz elektronizacji wymiany  korespondencji za pomocą e-PUAP,  w tym m.in.. Poprzez wdrożenie dziedzinowych systemów informatycnych ,podniesienie kwalifikacji pracowników samorządowych w zakresie wykorzystania technologii informacyjno - komunikacyjnych ,działania informacyjne podnoszące stopień wykorzystania e-usług</t>
  </si>
  <si>
    <t>Urząd Gminy Kobylanka      SRGK 3.3.4.1.</t>
  </si>
  <si>
    <t>1.1.2.1</t>
  </si>
  <si>
    <t>Urząd Gminy Kobylanka      SRGK 3.7.1.1.</t>
  </si>
  <si>
    <t>1.1.2.2</t>
  </si>
  <si>
    <t xml:space="preserve">Przebudowa drogi gminnej Kobylanka-Jęczydół </t>
  </si>
  <si>
    <t>Urząd Gminy Kobylanka     SRGK 3.1.1.2.</t>
  </si>
  <si>
    <t>1.1.2.3</t>
  </si>
  <si>
    <t>Przebudowa drogi gminnej  Cisewo-Wielichówko</t>
  </si>
  <si>
    <t>Urząd Gminy Kobylanka     SRGK 3.1.1.3</t>
  </si>
  <si>
    <t>1.1.2.4</t>
  </si>
  <si>
    <t>Budowa dróg gminnych do terenów inwestycyjnych oraz ich uzbrojenie w media</t>
  </si>
  <si>
    <t>Urząd Gminy Kobylanka      SRGK 1.1.1.1</t>
  </si>
  <si>
    <t>1.1.2.5</t>
  </si>
  <si>
    <t>Budowa ścieżek rowerowych</t>
  </si>
  <si>
    <t>Urząd Gminy Kobylanka     SRGK 3.1.2.3.</t>
  </si>
  <si>
    <t>1.1.2.6</t>
  </si>
  <si>
    <t>Rozbudowa sieci wodociągowej na terenie gminy Kobylanka</t>
  </si>
  <si>
    <t>Urząd Gminy Kobylanka     SRGK 3.2.1.1</t>
  </si>
  <si>
    <t>1.1.2.7</t>
  </si>
  <si>
    <t>Dokończenie rozbudowy sieci kanalizacyjnejw strefie ochrony wód jeziora Miedwie- Miedwiecko za torami</t>
  </si>
  <si>
    <t>Urząd Gminy Kobylanka     SRGK 3.7.2.2.</t>
  </si>
  <si>
    <t>1.1.2.8</t>
  </si>
  <si>
    <t>Budowa sieci kanalizacyjnej, ulica Wyszyńskiego - Brzozowa w Miedwiecku</t>
  </si>
  <si>
    <t>Urząd Gminy Kobylanka     SRGK 3.7.2.1.</t>
  </si>
  <si>
    <t>1.1.2.9</t>
  </si>
  <si>
    <t>Budowa infrastruktury turystyczno - kulturalnej nad jeziorem Miedwie ( teren przy muszli koncertowej)</t>
  </si>
  <si>
    <t>Urząd Gminy Kobylanka     SRGK 2.2.1.1.</t>
  </si>
  <si>
    <t>1.1.2.10</t>
  </si>
  <si>
    <t>Budowa parkingów w miejscowościach Morzyczyn i Zieleniewo</t>
  </si>
  <si>
    <t>Urząd Gminy Kobylanka     SRGK 2.2.1.2.</t>
  </si>
  <si>
    <t>1.1.2.11</t>
  </si>
  <si>
    <t>Stworzenie szlaku wodnego do torpedowni</t>
  </si>
  <si>
    <t>Urząd Gminy Kobylanka     SRGK 2.2.2.2.</t>
  </si>
  <si>
    <t>1.1.2.12</t>
  </si>
  <si>
    <t>Budowa przystani jachtowej z infrastrukturą pomocniczą</t>
  </si>
  <si>
    <t>Urząd Gminy Kobylanka      SRGK 2.2.3.2</t>
  </si>
  <si>
    <t>1.1.2.13</t>
  </si>
  <si>
    <t>Modernizacja GOK i Biblioteki w Kobylance</t>
  </si>
  <si>
    <t>Urząd Gminy Kobylanka     SRGK 2.1.2.1</t>
  </si>
  <si>
    <t>1.1.2.14</t>
  </si>
  <si>
    <t>Modernizacja świetlicy wiejskiej w Kunowie</t>
  </si>
  <si>
    <t>Urząd Gminy Kobylanka     SRGK 2.1.2.2.</t>
  </si>
  <si>
    <t>1.1.2.15</t>
  </si>
  <si>
    <t xml:space="preserve">Modernizacja świetlicy wiejskiej w Morzyczynie </t>
  </si>
  <si>
    <t>Urząd Gminy Kobylanka     SRGK 2.1.2.4.</t>
  </si>
  <si>
    <t>1.1.2.16</t>
  </si>
  <si>
    <t>Modernizacja świetlicy wiejskiej w Bielkowie</t>
  </si>
  <si>
    <t>Urząd Gminy Kobylanka SRGK 2.1.2.5.</t>
  </si>
  <si>
    <t>1.1.2.17</t>
  </si>
  <si>
    <t>Budowa stadionu sportowego      w Reptowie</t>
  </si>
  <si>
    <t>Urząd Gminy Kobylanka     SRGK 2.1.1.1.</t>
  </si>
  <si>
    <t>1.1.2.18</t>
  </si>
  <si>
    <t>Budownictwo socjalne</t>
  </si>
  <si>
    <t>Urząd Gminy Kobylanka       SRGK 3.5.2.1.</t>
  </si>
  <si>
    <t>1.1.2.19</t>
  </si>
  <si>
    <t>Modernizacja placów zabaw na terenie gminy Kobylanka</t>
  </si>
  <si>
    <t>Urząd Gminy Kobylanka     SRGK 2.1.1.3.</t>
  </si>
  <si>
    <t>1.1.2.20</t>
  </si>
  <si>
    <t>Rozbudowa szkół na terenie gminy Kobylanka</t>
  </si>
  <si>
    <t>Urząd Gminy Kobylanka      SRGK 3.3.1.1.</t>
  </si>
  <si>
    <t>1.1.2.21</t>
  </si>
  <si>
    <t>Stwarzanie warunków do rozwoju sportów wodnych poprzez uzupełnianie infrastruktury</t>
  </si>
  <si>
    <t>Urząd Gminy Kobylanka      SRGK 2.2.3.3</t>
  </si>
  <si>
    <t>Wydatki na programy, projekty lub zadania związane z umowami partnerstwa publiczno-prywatnego, z tego:</t>
  </si>
  <si>
    <t xml:space="preserve">  Program …</t>
  </si>
  <si>
    <t>…</t>
  </si>
  <si>
    <t>1.3</t>
  </si>
  <si>
    <t>Wydatki na programy, projekty lub zadania pozostałe (inne niż wymienione w pkt 1.1   i 1.2), z tego:</t>
  </si>
  <si>
    <t>1.3.1</t>
  </si>
  <si>
    <t>1.3.1.1</t>
  </si>
  <si>
    <t>Stworzenie i realizacja szczegółowego programu współpracy z miastami partnerskimi  w porozumieniu z jednostkami organizacyjnymi i organizacjami pozarządowymi działajacymi na terenie Gminy w zakresie: oświaty, kultury, sportu, turystyk oraz przedsiębiorczosci.</t>
  </si>
  <si>
    <t>Urząd Gminy Kobylanka      SRGK 1.3.3.1.</t>
  </si>
  <si>
    <t>1.3.1.2</t>
  </si>
  <si>
    <t xml:space="preserve">Mapa Gminy, elektroniczny przewodnik po gminie                     z uwzględnieniem szlaków dla pieszych, rowerów (wypożyczalnie rowerów)              i samochodów </t>
  </si>
  <si>
    <t>Urząd Gminy Kobylanka      SRGK 2.2.2.1.</t>
  </si>
  <si>
    <t>1.3.1.3</t>
  </si>
  <si>
    <t xml:space="preserve">Tworzenie partnerstw w zakresie podnoszenia poziomu bezpieczeństwa  i porządku publicznego na terenie Gminy. </t>
  </si>
  <si>
    <t>Urząd Gminy Kobylanka      SRGK 3.6.2.1.</t>
  </si>
  <si>
    <t>1.3.1.4</t>
  </si>
  <si>
    <t>Promocja terenów pod inwestycje turystyczne w Morzyczynie            i Zieleniewie</t>
  </si>
  <si>
    <t>Urząd Gminy Kobylanka      SRGK 2.2.4.1.</t>
  </si>
  <si>
    <t>1.3.1.5</t>
  </si>
  <si>
    <t>Punkt informacji turystycznej</t>
  </si>
  <si>
    <t>Urząd Gminy Kobylanka      SRGK 2.2.3.1</t>
  </si>
  <si>
    <t>1.3.1.6</t>
  </si>
  <si>
    <t>Zabiegi pielęgnacyjne na pomnikach przyrody</t>
  </si>
  <si>
    <t>Urząd Gminy Kobylanka      SRGK 3.7.4.1</t>
  </si>
  <si>
    <t>1.3.2</t>
  </si>
  <si>
    <t>Modernizacja dróg gminnych</t>
  </si>
  <si>
    <t>Budowa drogi Zieleniewo - Miedwiecko</t>
  </si>
  <si>
    <t>1.3.2.1</t>
  </si>
  <si>
    <t>Modernizacja ul. Popiełuszki w Zieleniewie</t>
  </si>
  <si>
    <t>Urząd Gminy Kobylanka      SRGK 3.1.1.1.</t>
  </si>
  <si>
    <t>1.3.2.2</t>
  </si>
  <si>
    <t>Modernizacja dróg na terenie Gminy Kobylanka</t>
  </si>
  <si>
    <t>Urząd Gminy Kobylanka     SRGK 3.1.1.4</t>
  </si>
  <si>
    <t>1.3.2.3</t>
  </si>
  <si>
    <t>Urząd Gminy Kobylanka     SRGK 3.1.2.1.</t>
  </si>
  <si>
    <t>1.3.2.4</t>
  </si>
  <si>
    <t>Rozbudowa oświetlenia ulicznego</t>
  </si>
  <si>
    <t>Urząd Gminy Kobylanka     SRGK 3.1.2.2.</t>
  </si>
  <si>
    <t>1.3.2.5</t>
  </si>
  <si>
    <t>Urząd Gminy Kobylanka      SRGK 3.6.3.1.</t>
  </si>
  <si>
    <t>1.3.2.6</t>
  </si>
  <si>
    <t>Kanalizacja - porozumienia partycypacyjne</t>
  </si>
  <si>
    <t>Urząd Gminy Kobylanka SRGK 3.7.2.3.</t>
  </si>
  <si>
    <t>1.3.2.7</t>
  </si>
  <si>
    <t>Budowa dwóch budynków komunalnych w Kobylance</t>
  </si>
  <si>
    <t>1.3.2.8</t>
  </si>
  <si>
    <t>Miejscowe Plany Zagospodarowania Przestrzennego: Niedźwiedź (kościół), Zieleniewo(OSiR), Kobylanka (przy GPZ), Kobylanka-Jęczydół, Kobylanka-Motaniec, Motaniec -Bielkowo( tereny przemysłowe), Reptowo ( tereny przemysłowe), Rekowo-wieś, Jęczydół-Bielkowo, Kunowo (M,UT)</t>
  </si>
  <si>
    <t>Urząd Gminy Kobylanka      SRGK 1.4.1.1.</t>
  </si>
  <si>
    <t>1.3.2.9</t>
  </si>
  <si>
    <t>Modernizacja dachu i urządzenie terenu z miejscami parkingowymi przy Ośrodku Zdrowia</t>
  </si>
  <si>
    <t>Urząd Gminy Kobylanka     SRGK 3.3.2.1.</t>
  </si>
  <si>
    <t>1.3.2.10</t>
  </si>
  <si>
    <t>Przebudowa budynku Urzędu Gminy w Kobylance</t>
  </si>
  <si>
    <t>1.3.2.11</t>
  </si>
  <si>
    <t>Dokończenie budowy sieci kanalizacji sanitarnej w miejscowości Kobylanka</t>
  </si>
  <si>
    <t>1.3.2.12</t>
  </si>
  <si>
    <t>Budowa przystanków autobusowych na terenie Gminy Kobylanka</t>
  </si>
  <si>
    <t>Urząd Gminy Kobylanka     SRGK 3.3.3.1.</t>
  </si>
  <si>
    <t>1.3.2.13</t>
  </si>
  <si>
    <t>Budowa punktu przesiadkowego z zapleczem parkingowym w ramach SSOM</t>
  </si>
  <si>
    <t>Urząd Gminy Kobylanka      SRGK 3.3.3.2.</t>
  </si>
  <si>
    <t>1.3.2.14</t>
  </si>
  <si>
    <t>Modernizacja świetlicy wiejskiej w miejscowości Reptowo</t>
  </si>
  <si>
    <t>1.3.2.15</t>
  </si>
  <si>
    <t>Modernizacja świetlicy wiejskiej w Rekowie</t>
  </si>
  <si>
    <t>Urząd Gminy Kobylanka     SRGK 2.1.2.3.</t>
  </si>
  <si>
    <t>1.3.2.16</t>
  </si>
  <si>
    <t>Budowa boiska ze sztuczną nawierzchnią w Kunowie</t>
  </si>
  <si>
    <t>Urząd Gminy Kobylanka      SRGK 2.1.1.2.</t>
  </si>
  <si>
    <t>1.3.2.17</t>
  </si>
  <si>
    <t>Rozszerzenie monitoringu o miejsca szczególnie zagrożone, w tym ul Jeziorna w Morzyczynie</t>
  </si>
  <si>
    <t>Urząd Gminy Kobylanka      SRGK 3.6.1.1.</t>
  </si>
  <si>
    <r>
      <t xml:space="preserve">*) </t>
    </r>
    <r>
      <rPr>
        <b/>
        <sz val="9"/>
        <rFont val="Century Gothic"/>
        <family val="2"/>
        <charset val="238"/>
      </rPr>
      <t>n</t>
    </r>
    <r>
      <rPr>
        <sz val="9"/>
        <rFont val="Century Gothic"/>
        <family val="2"/>
        <charset val="238"/>
      </rPr>
      <t xml:space="preserve">-rok budżetowy; </t>
    </r>
    <r>
      <rPr>
        <b/>
        <sz val="9"/>
        <rFont val="Century Gothic"/>
        <family val="2"/>
        <charset val="238"/>
      </rPr>
      <t>n+1</t>
    </r>
    <r>
      <rPr>
        <sz val="9"/>
        <rFont val="Century Gothic"/>
        <family val="2"/>
        <charset val="238"/>
      </rPr>
      <t xml:space="preserve"> - rok następny po roku budżetowym; </t>
    </r>
    <r>
      <rPr>
        <b/>
        <sz val="9"/>
        <rFont val="Century Gothic"/>
        <family val="2"/>
        <charset val="238"/>
      </rPr>
      <t xml:space="preserve">n+2 </t>
    </r>
    <r>
      <rPr>
        <sz val="9"/>
        <rFont val="Century Gothic"/>
        <family val="2"/>
        <charset val="238"/>
      </rPr>
      <t>- dwa lata  po roku budżetowym;</t>
    </r>
    <r>
      <rPr>
        <b/>
        <sz val="9"/>
        <rFont val="Century Gothic"/>
        <family val="2"/>
        <charset val="238"/>
      </rPr>
      <t xml:space="preserve"> n+…</t>
    </r>
    <r>
      <rPr>
        <sz val="9"/>
        <rFont val="Century Gothic"/>
        <family val="2"/>
        <charset val="238"/>
      </rPr>
      <t xml:space="preserve"> - kolejny rok po roku budżetowym</t>
    </r>
  </si>
  <si>
    <t>1.3.1.7</t>
  </si>
  <si>
    <t>1.3.1.8</t>
  </si>
  <si>
    <t>1.3.1.9</t>
  </si>
  <si>
    <t>1.3.1.10</t>
  </si>
  <si>
    <t>Organizacja   ruchu na drogach gminnych ze szczególnym uwzględnieniem miejsc stwarzających zagrożenia oraz potrzeb mieszkańców wraz z uzupełnieniem koniecznego doświetlenia</t>
  </si>
  <si>
    <t>Modernizacja oświetlenia na terenie promenady nad j. Miedwie z zastosowaniem nowych technologii</t>
  </si>
  <si>
    <t xml:space="preserve"> -</t>
  </si>
  <si>
    <t>Ochrona wód jeziora Miedwie poprzez budowę sieci kanalizacyjnych i przebudowę oczyszczalni ścieków na obszarze aglomeracji Stargard Szczeciński 1.3 Oś Bielkowo</t>
  </si>
  <si>
    <t>Wykaz  przedsięwzięć  Gminy Kobylanka w latach 2014- 2023</t>
  </si>
  <si>
    <t xml:space="preserve">Wykonanie </t>
  </si>
  <si>
    <t>Plan 3 kw.</t>
  </si>
  <si>
    <t>X</t>
  </si>
  <si>
    <t>Nazwy serii (rysunki)</t>
  </si>
  <si>
    <t>Wyszczególnienie</t>
  </si>
  <si>
    <t>x</t>
  </si>
  <si>
    <t>Dochody ogółem</t>
  </si>
  <si>
    <t xml:space="preserve"> Dochody bieżące</t>
  </si>
  <si>
    <t>Dochody bieżące</t>
  </si>
  <si>
    <t xml:space="preserve">  dochody z tytułu udziału we wpływach z podatku dochodowego od osób fizycznych</t>
  </si>
  <si>
    <t>dochody z tytułu udziału we wpływach z podatku dochodowego od osób fizycznych</t>
  </si>
  <si>
    <t xml:space="preserve">  dochody z tytułu udziału we wpływach z podatku dochodowego od osób prawnych</t>
  </si>
  <si>
    <t>dochody z tytułu udziału we wpływach z podatku dochodowego od osób prawnych</t>
  </si>
  <si>
    <t>1.1.3</t>
  </si>
  <si>
    <t xml:space="preserve">  podatki i opłaty</t>
  </si>
  <si>
    <t>podatki i opłaty</t>
  </si>
  <si>
    <t>1.1.3.1</t>
  </si>
  <si>
    <t xml:space="preserve">   z podatku od nieruchomości</t>
  </si>
  <si>
    <t>z podatku od nieruchomości</t>
  </si>
  <si>
    <t>1.1.4</t>
  </si>
  <si>
    <t xml:space="preserve">  z subwencji ogólnej</t>
  </si>
  <si>
    <t>z subwencji ogólnej</t>
  </si>
  <si>
    <t>1.1.5</t>
  </si>
  <si>
    <t xml:space="preserve">  z tytułu dotacji i środków przeznaczonych na cele bieżące</t>
  </si>
  <si>
    <t>z tytułu dotacji i środków przeznaczonych na cele bieżące</t>
  </si>
  <si>
    <t xml:space="preserve">  Dochody majątkowe</t>
  </si>
  <si>
    <t>Dochody majątkowe, w tym</t>
  </si>
  <si>
    <t xml:space="preserve">  ze sprzedaży majątku</t>
  </si>
  <si>
    <t>ze sprzedaży majątku</t>
  </si>
  <si>
    <t xml:space="preserve">  z tytułu dotacji oraz środków przeznaczonych na inwestycje</t>
  </si>
  <si>
    <t>z tytułu dotacji oraz środków przeznaczonych na inwestycje</t>
  </si>
  <si>
    <t>Wydatki ogółem</t>
  </si>
  <si>
    <t>2.1</t>
  </si>
  <si>
    <t xml:space="preserve"> Wydatki bieżące</t>
  </si>
  <si>
    <t>Wydatki bieżące, w tym:</t>
  </si>
  <si>
    <t>2.1.1</t>
  </si>
  <si>
    <t xml:space="preserve">  z tytułu poręczeń i gwarancji</t>
  </si>
  <si>
    <t>z tytułu poręczeń i gwarancji</t>
  </si>
  <si>
    <t>2.1.1.1</t>
  </si>
  <si>
    <t xml:space="preserve">   w tym: gwarancje i poręczenia podlegające wyłączeniu z limitu spłaty zobowiązań, o którym mowa w art. 243 ustawy</t>
  </si>
  <si>
    <t>w tym: gwarancje i poręczenia podlegające wyłączeniu z limitu spłaty zobowiązań, o którym mowa w art. 243 ustawy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</si>
  <si>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</si>
  <si>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</si>
  <si>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</si>
  <si>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</si>
  <si>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 xml:space="preserve">  wydatki na obsługę długu, w tym:</t>
  </si>
  <si>
    <t>wydatki na obsługę długu, w tym:</t>
  </si>
  <si>
    <t>2.1.3.1</t>
  </si>
  <si>
    <t xml:space="preserve">   odsetki i dyskonto określone w art. 243 ust. 1 ustawy, w tym:</t>
  </si>
  <si>
    <t>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</si>
  <si>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</si>
  <si>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</si>
  <si>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</si>
  <si>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</si>
  <si>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</si>
  <si>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odsetki i dyskonto podlegające wyłączeniu z limitu spłaty zobowiązań, o którym mowa w art. 243 ustawy, z tytułu zobowiązań  zaciągniętych na wkład krajowy</t>
  </si>
  <si>
    <t>2.2</t>
  </si>
  <si>
    <t xml:space="preserve"> Wydatki majątkowe</t>
  </si>
  <si>
    <t>Wydatki majątkowe</t>
  </si>
  <si>
    <t>Wynik budżetu</t>
  </si>
  <si>
    <t>Przychody budżetu</t>
  </si>
  <si>
    <t>4.1</t>
  </si>
  <si>
    <t xml:space="preserve"> Nadwyżka budżetowa z lat ubiegłych</t>
  </si>
  <si>
    <t>Nadwyżka budżetowa z lat ubiegłych</t>
  </si>
  <si>
    <t>4.1.1</t>
  </si>
  <si>
    <t xml:space="preserve">  w tym na pokrycie deficytu budżetu</t>
  </si>
  <si>
    <t>w tym na pokrycie deficytu budżetu</t>
  </si>
  <si>
    <t>4.2</t>
  </si>
  <si>
    <t xml:space="preserve"> Wolne środki, o których mowa w art. 217 ust.2 pkt 6 ustawy</t>
  </si>
  <si>
    <t>Wolne środki, o których mowa w art. 217 ust.2 pkt 6 ustawy</t>
  </si>
  <si>
    <t>4.2.1</t>
  </si>
  <si>
    <t xml:space="preserve">   w tym na pokrycie deficytu budżetu</t>
  </si>
  <si>
    <t>4.3</t>
  </si>
  <si>
    <t xml:space="preserve">  Kredyty, pożyczki, emisja papierów wartościowych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</si>
  <si>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</si>
  <si>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</si>
  <si>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</si>
  <si>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</si>
  <si>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</si>
  <si>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</si>
  <si>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</si>
  <si>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 xml:space="preserve"> Spłaty rat kapitałowych kredytów i pożyczek oraz wykup papierów wartościowych</t>
  </si>
  <si>
    <t>Spłaty rat kapitałowych kredytów i pożyczek oraz wykup papierów wartościowych</t>
  </si>
  <si>
    <t>5.1.1</t>
  </si>
  <si>
    <t xml:space="preserve">  w tym łączna kwota przypadających na dany rok kwot ustawowych wyłączeń z limitu spłaty zobowiązań, o którym mowa w art. 243 ustawy, z tego:</t>
  </si>
  <si>
    <t>w tym łączna kwota przypadających na dany rok kwot ustawowych wyłączeń z limitu spłaty zobowiązań, o którym mowa w art. 243 ustawy, z tego:</t>
  </si>
  <si>
    <t>5.1.1.1</t>
  </si>
  <si>
    <t xml:space="preserve">   kwota przypadających na dany rok kwot ustawowych wyłączeń określonych w art. 243 ust. 3 ustawy</t>
  </si>
  <si>
    <t>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</si>
  <si>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</si>
  <si>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</si>
  <si>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</si>
  <si>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</si>
  <si>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</si>
  <si>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</si>
  <si>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</si>
  <si>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</si>
  <si>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</si>
  <si>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</si>
  <si>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</si>
  <si>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8.1</t>
  </si>
  <si>
    <t xml:space="preserve"> Różnica między dochodami bieżącymi a  wydatkami bieżącymi</t>
  </si>
  <si>
    <t>Różnica między dochodami bieżącymi a  wydatkami bieżącymi</t>
  </si>
  <si>
    <t>8.2</t>
  </si>
  <si>
    <t xml:space="preserve"> Różnica między dochodami bieżącymi, skorygowanymi o środki a wydatkami bieżącymi, pomniejszonymi  o wydatki</t>
  </si>
  <si>
    <t>Różnica między dochodami bieżącymi, skorygowanymi o środki a wydatkami bieżącymi, pomniejszonymi  o wydatki</t>
  </si>
  <si>
    <t>Wskaźnik spłaty zobowiązań</t>
  </si>
  <si>
    <t>9.1</t>
  </si>
  <si>
    <t>(R+O) / D (bez wyłączeń)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</si>
  <si>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</si>
  <si>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</si>
  <si>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(R+O) / D (z wyłączeniami)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</si>
  <si>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</si>
  <si>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</si>
  <si>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 xml:space="preserve"> Kwota zobowiązań związku współtworzonego przez jednostkę samorządu terytorialnego przypadających do spłaty w danym roku budżetowym, podlegająca doliczeniu zgodnie z art. 244 ustawy</t>
  </si>
  <si>
    <t>Kwota zobowiązań związku współtworzonego przez jednostkę samorządu terytorialnego przypadających do spłaty w danym roku budżetowym, podlegająca doliczeniu zgodnie z art. 244 ustawy</t>
  </si>
  <si>
    <t>9.4</t>
  </si>
  <si>
    <t>(R+O) / D (z wyłączeniami i zobowiązaniami związków)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</si>
  <si>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</si>
  <si>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</si>
  <si>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 xml:space="preserve"> Wskaźnik dochodów bieżących powiększonych o dochody ze sprzedaży majątku oraz pomniejszonych o wydatki bieżące, do dochodów budżetu, ustalony dla danego roku (wskaźnik jednoroczny)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</si>
  <si>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</si>
  <si>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</si>
  <si>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z art. 243 ustawy, po uwzględnieniu ustawowych wyłączeń (planistyczny) 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</si>
  <si>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</si>
  <si>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</si>
  <si>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z art. 243 ustawy, po uwzględnieniu ustawowych wyłączeń (wykonanie)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</si>
  <si>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</si>
  <si>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</si>
  <si>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</si>
  <si>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</si>
  <si>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</si>
  <si>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</si>
  <si>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</si>
  <si>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</si>
  <si>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</si>
  <si>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 xml:space="preserve"> Spłaty kredytów, pożyczek i wykup papierów wartościowych</t>
  </si>
  <si>
    <t>Spłaty kredytów, pożyczek i wykup papierów wartościowych</t>
  </si>
  <si>
    <t>Informacje uzupełniające o wybranych rodzajach wydatków budżetowych</t>
  </si>
  <si>
    <t>11.1</t>
  </si>
  <si>
    <t xml:space="preserve"> Wydatki bieżące na wynagrodzenia i składki od nich naliczane</t>
  </si>
  <si>
    <t>Wydatki bieżące na wynagrodzenia i składki od nich naliczane</t>
  </si>
  <si>
    <t>11.2</t>
  </si>
  <si>
    <t xml:space="preserve"> Wydatki związane z funkcjonowaniem organów jednostki samorządu terytorialnego</t>
  </si>
  <si>
    <t>Wydatki związane z funkcjonowaniem organów jednostki samorządu terytorialnego</t>
  </si>
  <si>
    <t>11.3</t>
  </si>
  <si>
    <t xml:space="preserve"> Wydatki objęte limitem, o którym mowa w art. 226 ust. 3 pkt 4 ustawy</t>
  </si>
  <si>
    <t>Wydatki objęte limitem, o którym mowa w art. 226 ust. 3 pkt 4 ustawy</t>
  </si>
  <si>
    <t>11.3.1</t>
  </si>
  <si>
    <t xml:space="preserve">   Wydatki bieżące na przedsięwzięcia</t>
  </si>
  <si>
    <t>bieżące</t>
  </si>
  <si>
    <t>11.3.2</t>
  </si>
  <si>
    <t xml:space="preserve">   Wydatki majątkowe na przedsięwzięcia</t>
  </si>
  <si>
    <t>majątkowe</t>
  </si>
  <si>
    <t>11.4</t>
  </si>
  <si>
    <t xml:space="preserve"> Wydatki inwestycyjne kontynuowane </t>
  </si>
  <si>
    <t xml:space="preserve">Wydatki inwestycyjne kontynuowane </t>
  </si>
  <si>
    <t>11.5</t>
  </si>
  <si>
    <t xml:space="preserve"> Nowe wydatki inwestycyjne</t>
  </si>
  <si>
    <t>Nowe wydatki inwestycyjne</t>
  </si>
  <si>
    <t>11.6</t>
  </si>
  <si>
    <t xml:space="preserve"> Wydatki majątkowe w formie dotacji 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</si>
  <si>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</si>
  <si>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</si>
  <si>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</si>
  <si>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 xml:space="preserve"> Dochody bieżące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</si>
  <si>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</si>
  <si>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</si>
  <si>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</si>
  <si>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</si>
  <si>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</si>
  <si>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</si>
  <si>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>- w tym środki określone w art. 5 ust. 1 pkt 2 ustawy wynikające wyłącznie z  zawartych umów na realizację programu, projektu lub zadania</t>
  </si>
  <si>
    <t>12.2</t>
  </si>
  <si>
    <t xml:space="preserve"> Dochody majątkowe  na programy, projekty lub zadania finansowane z udziałem środków, o których mowa w art. 5 ust. 1 pkt 2 i 3 ustawy</t>
  </si>
  <si>
    <t>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</si>
  <si>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</si>
  <si>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</si>
  <si>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</si>
  <si>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</si>
  <si>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>- w tym środki określone w art. 5 ust. 1 pkt 2 ustawy wynikające wyłącznie z zawartych umów na realizację programu, projektu lub zadania</t>
  </si>
  <si>
    <t>12.3</t>
  </si>
  <si>
    <t xml:space="preserve"> Wydatki bieżące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</si>
  <si>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</si>
  <si>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</si>
  <si>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</si>
  <si>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 xml:space="preserve">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</si>
  <si>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</si>
  <si>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</si>
  <si>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</si>
  <si>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</si>
  <si>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 xml:space="preserve"> Wydatki majątkowe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</si>
  <si>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</si>
  <si>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</si>
  <si>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</si>
  <si>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</si>
  <si>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</si>
  <si>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</si>
  <si>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</si>
  <si>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</si>
  <si>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</si>
  <si>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</si>
  <si>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</si>
  <si>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</si>
  <si>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</si>
  <si>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</si>
  <si>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</si>
  <si>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</si>
  <si>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</si>
  <si>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</si>
  <si>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</si>
  <si>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</si>
  <si>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</si>
  <si>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</si>
  <si>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</si>
  <si>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</si>
  <si>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</si>
  <si>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</si>
  <si>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</si>
  <si>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 xml:space="preserve"> Kwota zobowiązań wynikających z przejęcia przez jednostkę samorządu terytorialnego zobowiązań po likwidowanych i przekształcanych samodzielnych zakładach opieki zdrowotnej</t>
  </si>
  <si>
    <t>Kwota zobowiązań wynikających z przejęcia przez jednostkę samorządu terytorialnego zobowiązań po likwidowanych i przekształcanych samodzielnych zakładach opieki zdrowotnej</t>
  </si>
  <si>
    <t>13.2</t>
  </si>
  <si>
    <t xml:space="preserve"> Dochody budżetowe z tytułu dotacji celowej z budżetu państwa, o której mowa w art. 196 ustawy z  dnia 15 kwietnia 2011 r.  o działalności leczniczej (Dz.U. Nr 112, poz. 654, z późn. zm.)</t>
  </si>
  <si>
    <t>Dochody budżetowe z tytułu dotacji celowej z budżetu państwa, o której mowa w art. 196 ustawy z  dnia 15 kwietnia 2011 r.  o działalności leczniczej (Dz.U. Nr 112, poz. 654, z późn. zm.)</t>
  </si>
  <si>
    <t>13.3</t>
  </si>
  <si>
    <t xml:space="preserve"> Wysokość zobowiązań podlegających umorzeniu, o którym mowa w art. 190 ustawy o działalności leczniczej</t>
  </si>
  <si>
    <t>Wysokość zobowiązań podlegających umorzeniu, o którym mowa w art. 190 ustawy o działalności leczniczej</t>
  </si>
  <si>
    <t>13.4</t>
  </si>
  <si>
    <t xml:space="preserve"> 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</si>
  <si>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przekształconego na zasadach określonych w przepisach  o działalności leczniczej</t>
  </si>
  <si>
    <t>13.5</t>
  </si>
  <si>
    <t xml:space="preserve"> Wydatki na spłatę przejętych zobowiązań samodzielnego publicznego zakładu opieki zdrowotnej likwidowanego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</si>
  <si>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</si>
  <si>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13.6</t>
  </si>
  <si>
    <t xml:space="preserve"> Wydatki na spłatę zobowiązań samodzielnego publicznego zakładu opieki zdrowotnej przejętych do końca 2011 r. na podstawie przepisów o zakładach opieki zdrowotnej</t>
  </si>
  <si>
    <t>Wydatki na spłatę zobowiązań samodzielnego publicznego zakładu opieki zdrowotnej przejętych do końca 2011 r. na podstawie przepisów o zakładach opieki zdrowotnej</t>
  </si>
  <si>
    <t>13.7</t>
  </si>
  <si>
    <t xml:space="preserve"> Wydatki bieżące na pokrycie ujemnego wyniku finansowego samodzielnego publicznego zakładu opieki zdrowotnej</t>
  </si>
  <si>
    <t>Wydatki bieżące na pokrycie ujemnego wyniku finansowego samodzielnego publicznego zakładu opieki zdrowotnej</t>
  </si>
  <si>
    <t>Dane uzupełniające o długu i jego spłacie</t>
  </si>
  <si>
    <t>14.1</t>
  </si>
  <si>
    <t xml:space="preserve"> Spłaty rat kapitałowych oraz wykup papierów wartościowych, o których mowa w pkt. 5.1., wynikające wyłącznie z tytułu zobowiązań już zaciągniętych</t>
  </si>
  <si>
    <t>Spłaty rat kapitałowych oraz wykup papierów wartościowych, o których mowa w pkt. 5.1., wynikające wyłącznie z tytułu zobowiązań już zaciągniętych</t>
  </si>
  <si>
    <t>14.2</t>
  </si>
  <si>
    <t xml:space="preserve"> Kwota długu, którego planowana spłata dokona się z wydatków budżetu</t>
  </si>
  <si>
    <t>Kwota długu, którego planowana spłata dokona się z wydatków budżetu</t>
  </si>
  <si>
    <t>14.3</t>
  </si>
  <si>
    <t xml:space="preserve"> Wydatki zmniejszające dług, w tym</t>
  </si>
  <si>
    <t>Wydatki zmniejszające dług, w tym</t>
  </si>
  <si>
    <t>14.3.1</t>
  </si>
  <si>
    <t xml:space="preserve">  spłata zobowiązań wymagalnych z lat poprzednich, innych niż w pkt 14.3.3</t>
  </si>
  <si>
    <t>spłata zobowiązań wymagalnych z lat poprzednich, innych niż w pkt 14.3.3</t>
  </si>
  <si>
    <t>14.3.2</t>
  </si>
  <si>
    <t xml:space="preserve">  związane z umowami zaliczanymi do tytułów dłużnych wliczanych do państwowego długu publicznego</t>
  </si>
  <si>
    <t>związane z umowami zaliczanymi do tytułów dłużnych wliczanych do państwowego długu publicznego</t>
  </si>
  <si>
    <t>14.3.3</t>
  </si>
  <si>
    <t xml:space="preserve">  wypłaty z tytułu wymagalnych poręczeń i gwarancji</t>
  </si>
  <si>
    <t>wypłaty z tytułu wymagalnych poręczeń i gwarancji</t>
  </si>
  <si>
    <t>14.4</t>
  </si>
  <si>
    <t xml:space="preserve"> Wynik operacji niekasowych wpływających na kwotę długu ( m.in. umorzenia, różnice kursowe)</t>
  </si>
  <si>
    <t>Wynik operacji niekasowych wpływających na kwotę długu ( m.in. umorzenia, różnice kursowe)</t>
  </si>
  <si>
    <t>Dane dotyczące emitowanych obligacji przychodowych</t>
  </si>
  <si>
    <t>15.1</t>
  </si>
  <si>
    <t xml:space="preserve"> Środki z przedsięwzięcia gromadzone na rachunku bankowym,  w tym:</t>
  </si>
  <si>
    <t>Środki z przedsięwzięcia gromadzone na rachunku bankowym,  w tym:</t>
  </si>
  <si>
    <t>15.1.1</t>
  </si>
  <si>
    <t xml:space="preserve">  środki na zaspokojenie roszczeń obligatariuszy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</si>
  <si>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</si>
  <si>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</si>
  <si>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</si>
  <si>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t>UWAGA!</t>
  </si>
  <si>
    <t>Do symulacji prognozy i obserwacji zmian wskaźników z art. 243, 169 i 170 na podstawie danych wprowadzanych ręcznie służy arkusz "WPF_AnalizaWsk_Projektowanie"</t>
  </si>
  <si>
    <t>Weryfikacja danych wykazanych w tabeli Wieloletnia Prognoza Finansowa</t>
  </si>
  <si>
    <t>Reguła formalna</t>
  </si>
  <si>
    <t>Reguła rachunkowa</t>
  </si>
  <si>
    <t>Reguła logiczna</t>
  </si>
  <si>
    <t>Reguły kontrolne</t>
  </si>
  <si>
    <t>[1.1] + [4.1] + [4.2] &gt;= ([2.1] - [2.1.2])</t>
  </si>
  <si>
    <t>Spełnienie wskaźnika z art. 242</t>
  </si>
  <si>
    <t>[13.3] = 0 (dla lat 2014 i wyższych)</t>
  </si>
  <si>
    <t>Umorzenie zobowiązań, o którym mowa w art. 190 ustawy o działalności leczniczej nie wykracza poza ustawowy okres</t>
  </si>
  <si>
    <t>[1] + [4] - [2] - [5] = 0</t>
  </si>
  <si>
    <t>Kontrola poprawności zbilansowania budżetu</t>
  </si>
  <si>
    <t>[6]"n" = [6]"n-1" + [4.3]"n" - [5.1]"n" +  ([14.2]"n"-[14.2]"n-1") + [14.4]</t>
  </si>
  <si>
    <t>Kontrola poprawności wyliczenia kwoty długu</t>
  </si>
  <si>
    <t xml:space="preserve">[14.2] "n" =  ( [14.2]  "n-1" -  [14.3] "n" ) </t>
  </si>
  <si>
    <r>
      <t xml:space="preserve">Analiza zmiany kwoty długu spłacanego wydatkami budżetu 
</t>
    </r>
    <r>
      <rPr>
        <b/>
        <sz val="9"/>
        <rFont val="Czcionka tekstu podstawowego"/>
        <charset val="238"/>
      </rPr>
      <t xml:space="preserve">- wartości różne od zera wymagają objaśnienia </t>
    </r>
    <r>
      <rPr>
        <sz val="9"/>
        <rFont val="Czcionka tekstu podstawowego"/>
        <charset val="238"/>
      </rPr>
      <t xml:space="preserve">
   - wartości większe od zera wskazują na powstanie w roku prognozy nowego długu tego typu
   - wartości mniejsze od zera co do zasady nie powinny wystąpić</t>
    </r>
  </si>
  <si>
    <t>[13.1] "n"  -  ( [13.3] + [13.4] + [13.5] + [13.6] ) "n"  =  [13.1] "n-1"</t>
  </si>
  <si>
    <t>Porównanie na koniec roku prognozy stanu zobowiązań przejętych przez jst po likwidowanych i przekształcanych SP ZOZ z wydatkami i umorzeniami poniesionymi na ten cel ze stanem zobowiązań z okresu N-1</t>
  </si>
  <si>
    <t>jeśli [3] &lt; 0 to sprawdź czy [4.1.1] + [4.2.1] + [4.3.1] + [4.4.1] + [3] = 0</t>
  </si>
  <si>
    <t>Kontrola poprawności wykazania źródeł pokrycia deficytu</t>
  </si>
  <si>
    <t>jeśli [3] &gt;= 0 to sprawdź czy [4.1.1]=0 i [4.2.1]=0 i [4.3.1]=0 i  [4.4.1] = 0</t>
  </si>
  <si>
    <t>Kontrola poprawności niewykazania źródeł pokrycia deficytu przy nadwyżce budżetu</t>
  </si>
  <si>
    <t>[1.1.3] &gt;=  [1.1.3.1]</t>
  </si>
  <si>
    <t>Reguła logiczna:  [1.1.3] &gt;=  [1.1.3.1]</t>
  </si>
  <si>
    <t>[1.1.5] &gt;= [13.2]</t>
  </si>
  <si>
    <t>Reguła logiczna:  [1.1.5] &gt;= [13.2]</t>
  </si>
  <si>
    <t>[1.1] &gt;=  ([1.1.1] + [1.1.2] + [1.1.3] + [1.1.4] + [1.1.5])</t>
  </si>
  <si>
    <t>Reguła logiczna:  [1.1] &gt;=  ([1.1.1] + [1.1.2] + [1.1.3] + [1.1.4] + [1.1.5])</t>
  </si>
  <si>
    <t>[1.1] &gt;= [12.1]</t>
  </si>
  <si>
    <t>Reguła logiczna:  [1.1] &gt;= [12.1]</t>
  </si>
  <si>
    <t>[1.2] &gt;= [1.2.1]</t>
  </si>
  <si>
    <t>Reguła logiczna:  [1.2] &gt;= [1.2.1]</t>
  </si>
  <si>
    <t>[1.2] &gt;= [1.2.2]</t>
  </si>
  <si>
    <t>Reguła logiczna:  [1.2] &gt;= [1.2.2]</t>
  </si>
  <si>
    <t>[1.2] &gt;= [12.2]</t>
  </si>
  <si>
    <t>Reguła logiczna:  [1.2] &gt;= [12.2]</t>
  </si>
  <si>
    <t>Reguła logiczna: jeżeli [3] &gt;0 to [10] = [3]</t>
  </si>
  <si>
    <t>[10] &gt;= [10.1]</t>
  </si>
  <si>
    <t>Reguła logiczna:  [10] &gt;= [10.1]</t>
  </si>
  <si>
    <t>jeśli [10] &gt; 0 to powinno być [10.1] &gt; 0</t>
  </si>
  <si>
    <t>Reguła logiczna:  jeżeli [10] &gt; 0 to [10.1] &gt;0</t>
  </si>
  <si>
    <t>[12.1] &gt;= [12.1.1]</t>
  </si>
  <si>
    <t>Reguła logiczna:  [12.1] &gt;= [12.1.1]</t>
  </si>
  <si>
    <t>[12.1.1] &gt;= [12.1.1.1]</t>
  </si>
  <si>
    <t>Reguła logiczna:  [12.1.1] &gt;= [12.1.1.1]</t>
  </si>
  <si>
    <t>[12.2] &gt;= [12.2.1]</t>
  </si>
  <si>
    <t>Reguła logiczna:  [12.2] &gt;= [12.2.1]</t>
  </si>
  <si>
    <t>[12.2.1] &gt;= [12.2.1.1]</t>
  </si>
  <si>
    <t>Reguła logiczna:  [12.2.1] &gt;= [12.2.1.1]</t>
  </si>
  <si>
    <t>[12.3] &gt;= [12.3.1]</t>
  </si>
  <si>
    <t>Reguła logiczna:  [12.3] &gt;= [12.3.1]</t>
  </si>
  <si>
    <t>[12.3] &gt;= [12.3.2]</t>
  </si>
  <si>
    <t>Reguła logiczna:  [12.3] &gt;= [12.3.2]</t>
  </si>
  <si>
    <t>[12.4] &gt;= [12.4.1]</t>
  </si>
  <si>
    <t>Reguła logiczna:  [12.4] &gt;= [12.4.1]</t>
  </si>
  <si>
    <t>[12.4] &gt;= [12.4.2]</t>
  </si>
  <si>
    <t>Reguła logiczna:  [12.4] &gt;= [12.4.2]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</si>
  <si>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</si>
  <si>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</si>
  <si>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</si>
  <si>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</si>
  <si>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>[13.1] &gt;= [13.3]</t>
  </si>
  <si>
    <t>Reguła logiczna:  [13.1] &gt;= [13.3]</t>
  </si>
  <si>
    <t>[13.4] &gt;= [2.1.2]</t>
  </si>
  <si>
    <t>Reguła logiczna:  [13.4] &gt;= [2.1.2]</t>
  </si>
  <si>
    <t>[14.3] &gt;= [14.3.1] + [14.3.2] + [14.3.3]</t>
  </si>
  <si>
    <t>Reguła logiczna:  [14.3] &gt;= [14.3.1] + [14.3.2] + [14.3.3]</t>
  </si>
  <si>
    <t>Reguła logiczna:  [15.1] &gt;= [15.1.1]</t>
  </si>
  <si>
    <t>[2.1.1] &gt;= [2.1.1.1]</t>
  </si>
  <si>
    <t>Reguła logiczna:  [2.1.1] &gt;= [2.1.1.1]</t>
  </si>
  <si>
    <t>[2.1.1] &gt;= [14.3.3]</t>
  </si>
  <si>
    <t>Reguła logiczna:  [2.1.1] &gt;= [14.3.3]</t>
  </si>
  <si>
    <t xml:space="preserve">[2.1.3] &gt;= [2.1.3.1] </t>
  </si>
  <si>
    <t xml:space="preserve">Reguła logiczna:  [2.1.3] &gt;= [2.1.3.1] </t>
  </si>
  <si>
    <t xml:space="preserve">Reguła logiczna:  [2.1.3.1] &gt;= [2.1.3.1.1]+[2.1.3.1.2] </t>
  </si>
  <si>
    <t>[2.1] &gt;= ([2.1.1] + [2.1.2] + [2.1.3])</t>
  </si>
  <si>
    <t>Reguła logiczna:  [2.1] &gt;= ([2.1.1] + [2.1.2] + [2.1.3])</t>
  </si>
  <si>
    <t>[2.1] &gt;= [11.1]</t>
  </si>
  <si>
    <t>Reguła logiczna:  [2.1] &gt;= [11.1]</t>
  </si>
  <si>
    <t>[2.1] &gt;= [11.3.1]</t>
  </si>
  <si>
    <t>Reguła logiczna:  [2.1] &gt;= [11.3.1]</t>
  </si>
  <si>
    <t>[2.1] &gt;= [12.3]</t>
  </si>
  <si>
    <t>Reguła logiczna:  [2.1] &gt;= [12.3]</t>
  </si>
  <si>
    <t>[2.1] &gt;= [13.7]</t>
  </si>
  <si>
    <t>Reguła logiczna:  [2.1] &gt;= [13.7]</t>
  </si>
  <si>
    <t>[2.2] &gt;= [11.3.2]</t>
  </si>
  <si>
    <t>Reguła logiczna:  [2.2] &gt;= [11.3.2]</t>
  </si>
  <si>
    <t>[2.2] &gt;= [11.4] + [11.5]</t>
  </si>
  <si>
    <t>Reguła logiczna:  [2.2] &gt;= [11.4] + [11.5]</t>
  </si>
  <si>
    <t>[2.2] &gt;= [11.6]</t>
  </si>
  <si>
    <t>Reguła logiczna:  [2.2] &gt;= [11.6]</t>
  </si>
  <si>
    <t>[2.2] &gt;= [12.4]</t>
  </si>
  <si>
    <t>Reguła logiczna:  [2.2] &gt;= [12.4]</t>
  </si>
  <si>
    <t>[4.1] &gt;= [4.1.1]</t>
  </si>
  <si>
    <t>Reguła logiczna:  [4.1] &gt;= [4.1.1]</t>
  </si>
  <si>
    <t>[4.2] &gt;= [4.2.1]</t>
  </si>
  <si>
    <t>Reguła logiczna:  [4.2] &gt;= [4.2.1]</t>
  </si>
  <si>
    <t>[4.3] &gt;= [4.3.1]</t>
  </si>
  <si>
    <t>Reguła logiczna:  [4.3] &gt;= [4.3.1]</t>
  </si>
  <si>
    <t>[4.4] &gt;= [4.4.1]</t>
  </si>
  <si>
    <t>Reguła logiczna:  [4.4] &gt;= [4.4.1]</t>
  </si>
  <si>
    <t>[5.1] &gt;= [5.1.1]</t>
  </si>
  <si>
    <t>Reguła logiczna:  [5.1] &gt;= [5.1.1]</t>
  </si>
  <si>
    <t>[5.1] &gt;= [10.1]</t>
  </si>
  <si>
    <t>Reguła logiczna:  [5.1] &gt;= [10.1]</t>
  </si>
  <si>
    <t>[5.1] &gt;= [14.1]</t>
  </si>
  <si>
    <t>Reguła logiczna:  [5.1] &gt;= [14.1]</t>
  </si>
  <si>
    <t>[6] &gt;=[7]</t>
  </si>
  <si>
    <t>Reguła logiczna:  [6] &gt;=[7]</t>
  </si>
  <si>
    <t>[6] &gt;= [14.2]</t>
  </si>
  <si>
    <t>Reguła logiczna:  [6] &gt;= [14.2]</t>
  </si>
  <si>
    <t>7&gt;=13.1</t>
  </si>
  <si>
    <t>Reguła logiczna:  7&gt;=13.1</t>
  </si>
  <si>
    <t xml:space="preserve">jeżeli [2.1.3] &lt;&gt; 0 to  [2.1.3.1] &lt;&gt; 0 </t>
  </si>
  <si>
    <t xml:space="preserve">Reguła logiczna:  jeżeli [2.1.3] &lt;&gt; 0 to  [2.1.3.1] &lt;&gt; 0 </t>
  </si>
  <si>
    <t>Kontrola poprawności podstawowych kwot</t>
  </si>
  <si>
    <t>Dochody ogółem = bieżące + majątkowe</t>
  </si>
  <si>
    <t>Wydatki ogółem = bieżące + majątkowe</t>
  </si>
  <si>
    <t>Wynik budżetu = dochody ogółem - wydatki ogółem</t>
  </si>
  <si>
    <t>Wyliczenie kwoty długu</t>
  </si>
  <si>
    <t>Wyliczenie zobowiązań wynikających z przejęcia przez jst zobowiązań po likwidowanych i przekształcanych SZOZ</t>
  </si>
  <si>
    <t>Analiza ryzyka niespełnienia wskaźnika z art. 243</t>
  </si>
  <si>
    <t>Analiza składowych wzoru wskaźnika z art. 243</t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</si>
  <si>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(planistyczny)</t>
    </r>
    <r>
      <rPr>
        <sz val="9"/>
        <color indexed="8"/>
        <rFont val="Times New Roman"/>
        <family val="1"/>
        <charset val="238"/>
      </rPr>
      <t xml:space="preserve"> - (R+O)/D </t>
    </r>
    <r>
      <rPr>
        <b/>
        <sz val="9"/>
        <color indexed="8"/>
        <rFont val="Times New Roman"/>
        <family val="1"/>
        <charset val="238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</si>
  <si>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(planistyczny)</t>
    </r>
    <r>
      <rPr>
        <sz val="9"/>
        <color indexed="8"/>
        <rFont val="Times New Roman"/>
        <family val="1"/>
        <charset val="238"/>
      </rPr>
      <t xml:space="preserve"> - (R+O)/D </t>
    </r>
    <r>
      <rPr>
        <b/>
        <sz val="9"/>
        <color indexed="8"/>
        <rFont val="Times New Roman"/>
        <family val="1"/>
        <charset val="238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</si>
  <si>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(wg wykonania)</t>
    </r>
    <r>
      <rPr>
        <sz val="9"/>
        <color indexed="8"/>
        <rFont val="Times New Roman"/>
        <family val="1"/>
        <charset val="238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</si>
  <si>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  <charset val="238"/>
      </rPr>
      <t>(wg wykonania)</t>
    </r>
    <r>
      <rPr>
        <sz val="9"/>
        <color indexed="8"/>
        <rFont val="Times New Roman"/>
        <family val="1"/>
        <charset val="238"/>
      </rPr>
      <t xml:space="preserve"> - (R+O)/D </t>
    </r>
    <r>
      <rPr>
        <b/>
        <sz val="9"/>
        <color indexed="8"/>
        <rFont val="Times New Roman"/>
        <family val="1"/>
        <charset val="238"/>
      </rPr>
      <t>(z wyłączeniami)</t>
    </r>
  </si>
  <si>
    <t>DYNAMIKA podstawowych wielkości z prognozy</t>
  </si>
  <si>
    <t>[N-1]pl3kw / [N-2]</t>
  </si>
  <si>
    <t>[N-1]wyk 
/ [N-1]pl3kw</t>
  </si>
  <si>
    <t>-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</si>
  <si>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</si>
  <si>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</si>
  <si>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</si>
  <si>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</si>
  <si>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dochody ze sprzedaży majątku</t>
  </si>
  <si>
    <t>wydatki ogółem bez wydatków na projekty finansowane i współfinansowane środkami UE</t>
  </si>
  <si>
    <t>wydatki bieżące ogółem</t>
  </si>
  <si>
    <t>wydatki bieżące ogółem bez wydatków na projekty współfinansowane środkami UE</t>
  </si>
  <si>
    <t>wydatki bieżące na wynagrodzenia i składki od nich naliczane</t>
  </si>
  <si>
    <t>pozostałe wydatki bieżące (wydatki bieżące bez wynagrodzeń i pochodnych oraz wydatków związanych z funkcjonowaniem organów jst, wydatków na obsługę długu  oraz poręczeń i gwarancji)</t>
  </si>
  <si>
    <t>WIELKOŚĆ ZMIAN w podstawowych kwotach prognozy</t>
  </si>
  <si>
    <t>[N-1]pl3kw 
- [N-2]</t>
  </si>
  <si>
    <t>[N-1]wyk 
- [N-1]pl3kw</t>
  </si>
  <si>
    <t>PODSTAWOWE wielkości ujęte w prognozie</t>
  </si>
  <si>
    <t>1.3.2.18</t>
  </si>
  <si>
    <t>Wykonanie podłączeń do sieci kanalizacyjnej budynków w miejscowościach: Bielkowo, Kunowo, Kobylanka, Morzyczyn i Reptowo</t>
  </si>
  <si>
    <t>WIELOLETNIA PROGNOZA FINANSOWA GMINY KOBYLANKA NA LATA 2014-2023</t>
  </si>
  <si>
    <t>Załącznik nr 1 do uchwały nr  XLVI/271/14 Rady Gminy Kobylanka z dnia 25 września 2014 roku</t>
  </si>
  <si>
    <t xml:space="preserve">Załącznik nr 3 do uchwały Nr  XLVI/271/14 Rady Gminy Kobylanka z dnia 25 września 2014r.       </t>
  </si>
</sst>
</file>

<file path=xl/styles.xml><?xml version="1.0" encoding="utf-8"?>
<styleSheet xmlns="http://schemas.openxmlformats.org/spreadsheetml/2006/main">
  <numFmts count="5"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  <numFmt numFmtId="166" formatCode="0.00%;[Red]\-0.00%"/>
    <numFmt numFmtId="167" formatCode="0.0%"/>
  </numFmts>
  <fonts count="9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name val="Calibri"/>
      <family val="2"/>
      <charset val="238"/>
      <scheme val="minor"/>
    </font>
    <font>
      <sz val="11"/>
      <color indexed="9"/>
      <name val="Czcionka tekstu podstawowego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indexed="62"/>
      <name val="Czcionka tekstu podstawowego"/>
      <family val="2"/>
      <charset val="238"/>
    </font>
    <font>
      <sz val="11"/>
      <color rgb="FF3F3F76"/>
      <name val="Calibri"/>
      <family val="2"/>
      <charset val="238"/>
      <scheme val="minor"/>
    </font>
    <font>
      <b/>
      <sz val="11"/>
      <color indexed="63"/>
      <name val="Czcionka tekstu podstawowego"/>
      <family val="2"/>
      <charset val="238"/>
    </font>
    <font>
      <b/>
      <sz val="11"/>
      <color rgb="FF3F3F3F"/>
      <name val="Calibri"/>
      <family val="2"/>
      <charset val="238"/>
      <scheme val="minor"/>
    </font>
    <font>
      <sz val="11"/>
      <color indexed="17"/>
      <name val="Czcionka tekstu podstawowego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sz val="11"/>
      <color rgb="FFFA7D00"/>
      <name val="Calibri"/>
      <family val="2"/>
      <charset val="238"/>
      <scheme val="minor"/>
    </font>
    <font>
      <b/>
      <sz val="11"/>
      <color indexed="9"/>
      <name val="Czcionka tekstu podstawowego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5"/>
      <color indexed="56"/>
      <name val="Czcionka tekstu podstawowego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indexed="56"/>
      <name val="Czcionka tekstu podstawowego"/>
      <family val="2"/>
      <charset val="238"/>
    </font>
    <font>
      <b/>
      <sz val="13"/>
      <color theme="3"/>
      <name val="Calibri"/>
      <family val="2"/>
      <charset val="238"/>
      <scheme val="minor"/>
    </font>
    <font>
      <b/>
      <sz val="11"/>
      <color indexed="56"/>
      <name val="Czcionka tekstu podstawowego"/>
      <family val="2"/>
      <charset val="238"/>
    </font>
    <font>
      <b/>
      <sz val="11"/>
      <color theme="3"/>
      <name val="Calibri"/>
      <family val="2"/>
      <charset val="238"/>
      <scheme val="minor"/>
    </font>
    <font>
      <sz val="11"/>
      <color indexed="60"/>
      <name val="Czcionka tekstu podstawowego"/>
      <family val="2"/>
      <charset val="238"/>
    </font>
    <font>
      <sz val="11"/>
      <color rgb="FF9C6500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rgb="FFFA7D00"/>
      <name val="Calibri"/>
      <family val="2"/>
      <charset val="238"/>
      <scheme val="minor"/>
    </font>
    <font>
      <b/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indexed="23"/>
      <name val="Czcionka tekstu podstawowego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11"/>
      <color indexed="10"/>
      <name val="Czcionka tekstu podstawowego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9C0006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9"/>
      <name val="Century Gothic"/>
      <family val="2"/>
      <charset val="238"/>
    </font>
    <font>
      <i/>
      <u/>
      <sz val="9"/>
      <name val="Century Gothic"/>
      <family val="2"/>
      <charset val="238"/>
    </font>
    <font>
      <b/>
      <sz val="8"/>
      <name val="Century Gothic"/>
      <family val="2"/>
      <charset val="238"/>
    </font>
    <font>
      <sz val="10"/>
      <name val="Arial CE"/>
      <family val="2"/>
      <charset val="238"/>
    </font>
    <font>
      <i/>
      <sz val="8"/>
      <name val="Century Gothic"/>
      <family val="2"/>
      <charset val="238"/>
    </font>
    <font>
      <i/>
      <sz val="8"/>
      <name val="Arial CE"/>
      <charset val="238"/>
    </font>
    <font>
      <b/>
      <i/>
      <sz val="9"/>
      <name val="Century Gothic"/>
      <family val="2"/>
      <charset val="238"/>
    </font>
    <font>
      <sz val="11"/>
      <name val="Czcionka tekstu podstawowego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Century Gothic"/>
      <family val="2"/>
      <charset val="238"/>
    </font>
    <font>
      <b/>
      <sz val="9"/>
      <name val="Calibri"/>
      <family val="2"/>
      <charset val="238"/>
    </font>
    <font>
      <sz val="9"/>
      <name val="Century Gothic"/>
      <family val="2"/>
      <charset val="238"/>
    </font>
    <font>
      <b/>
      <i/>
      <sz val="8"/>
      <name val="Century Gothic"/>
      <family val="2"/>
      <charset val="238"/>
    </font>
    <font>
      <b/>
      <i/>
      <sz val="11"/>
      <color theme="1"/>
      <name val="Czcionka tekstu podstawowego"/>
      <family val="2"/>
      <charset val="238"/>
    </font>
    <font>
      <b/>
      <i/>
      <sz val="10"/>
      <color rgb="FFFF0000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i/>
      <sz val="12"/>
      <color rgb="FFFF0000"/>
      <name val="Czcionka tekstu podstawowego"/>
      <charset val="238"/>
    </font>
    <font>
      <sz val="12"/>
      <color theme="1"/>
      <name val="Czcionka tekstu podstawowego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9"/>
      <color indexed="8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9"/>
      <color theme="1"/>
      <name val="Czcionka tekstu podstawowego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1"/>
      <color indexed="8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9"/>
      <color rgb="FFFF0000"/>
      <name val="Czcionka tekstu podstawowego"/>
      <charset val="238"/>
    </font>
    <font>
      <b/>
      <sz val="11"/>
      <name val="Czcionka tekstu podstawowego"/>
      <charset val="238"/>
    </font>
    <font>
      <sz val="9"/>
      <name val="Czcionka tekstu podstawowego"/>
      <charset val="238"/>
    </font>
    <font>
      <b/>
      <sz val="9"/>
      <name val="Czcionka tekstu podstawowego"/>
      <charset val="238"/>
    </font>
    <font>
      <sz val="9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b/>
      <sz val="9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name val="Times New Roman"/>
      <family val="1"/>
      <charset val="238"/>
    </font>
    <font>
      <i/>
      <sz val="8"/>
      <color indexed="8"/>
      <name val="Czcionka tekstu podstawowego"/>
      <charset val="238"/>
    </font>
    <font>
      <b/>
      <sz val="11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Czcionka tekstu podstawowego"/>
      <charset val="238"/>
    </font>
    <font>
      <i/>
      <sz val="9"/>
      <color indexed="8"/>
      <name val="Czcionka tekstu podstawowego"/>
      <charset val="238"/>
    </font>
    <font>
      <b/>
      <i/>
      <sz val="9"/>
      <color rgb="FFFF0000"/>
      <name val="Czcionka tekstu podstawowego"/>
      <charset val="238"/>
    </font>
    <font>
      <b/>
      <sz val="8"/>
      <color indexed="8"/>
      <name val="Czcionka tekstu podstawowego"/>
      <charset val="238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0" fontId="7" fillId="0" borderId="0"/>
    <xf numFmtId="0" fontId="11" fillId="0" borderId="0"/>
    <xf numFmtId="0" fontId="8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34" borderId="0" applyNumberFormat="0" applyBorder="0" applyAlignment="0" applyProtection="0"/>
    <xf numFmtId="0" fontId="8" fillId="10" borderId="0" applyNumberFormat="0" applyBorder="0" applyAlignment="0" applyProtection="0"/>
    <xf numFmtId="0" fontId="11" fillId="35" borderId="0" applyNumberFormat="0" applyBorder="0" applyAlignment="0" applyProtection="0"/>
    <xf numFmtId="0" fontId="8" fillId="14" borderId="0" applyNumberFormat="0" applyBorder="0" applyAlignment="0" applyProtection="0"/>
    <xf numFmtId="0" fontId="11" fillId="36" borderId="0" applyNumberFormat="0" applyBorder="0" applyAlignment="0" applyProtection="0"/>
    <xf numFmtId="0" fontId="8" fillId="18" borderId="0" applyNumberFormat="0" applyBorder="0" applyAlignment="0" applyProtection="0"/>
    <xf numFmtId="0" fontId="11" fillId="37" borderId="0" applyNumberFormat="0" applyBorder="0" applyAlignment="0" applyProtection="0"/>
    <xf numFmtId="0" fontId="8" fillId="22" borderId="0" applyNumberFormat="0" applyBorder="0" applyAlignment="0" applyProtection="0"/>
    <xf numFmtId="0" fontId="11" fillId="38" borderId="0" applyNumberFormat="0" applyBorder="0" applyAlignment="0" applyProtection="0"/>
    <xf numFmtId="0" fontId="8" fillId="26" borderId="0" applyNumberFormat="0" applyBorder="0" applyAlignment="0" applyProtection="0"/>
    <xf numFmtId="0" fontId="11" fillId="39" borderId="0" applyNumberFormat="0" applyBorder="0" applyAlignment="0" applyProtection="0"/>
    <xf numFmtId="0" fontId="8" fillId="30" borderId="0" applyNumberFormat="0" applyBorder="0" applyAlignment="0" applyProtection="0"/>
    <xf numFmtId="0" fontId="11" fillId="40" borderId="0" applyNumberFormat="0" applyBorder="0" applyAlignment="0" applyProtection="0"/>
    <xf numFmtId="0" fontId="8" fillId="11" borderId="0" applyNumberFormat="0" applyBorder="0" applyAlignment="0" applyProtection="0"/>
    <xf numFmtId="0" fontId="11" fillId="41" borderId="0" applyNumberFormat="0" applyBorder="0" applyAlignment="0" applyProtection="0"/>
    <xf numFmtId="0" fontId="8" fillId="15" borderId="0" applyNumberFormat="0" applyBorder="0" applyAlignment="0" applyProtection="0"/>
    <xf numFmtId="0" fontId="11" fillId="42" borderId="0" applyNumberFormat="0" applyBorder="0" applyAlignment="0" applyProtection="0"/>
    <xf numFmtId="0" fontId="8" fillId="19" borderId="0" applyNumberFormat="0" applyBorder="0" applyAlignment="0" applyProtection="0"/>
    <xf numFmtId="0" fontId="11" fillId="37" borderId="0" applyNumberFormat="0" applyBorder="0" applyAlignment="0" applyProtection="0"/>
    <xf numFmtId="0" fontId="8" fillId="23" borderId="0" applyNumberFormat="0" applyBorder="0" applyAlignment="0" applyProtection="0"/>
    <xf numFmtId="0" fontId="11" fillId="40" borderId="0" applyNumberFormat="0" applyBorder="0" applyAlignment="0" applyProtection="0"/>
    <xf numFmtId="0" fontId="8" fillId="27" borderId="0" applyNumberFormat="0" applyBorder="0" applyAlignment="0" applyProtection="0"/>
    <xf numFmtId="0" fontId="11" fillId="43" borderId="0" applyNumberFormat="0" applyBorder="0" applyAlignment="0" applyProtection="0"/>
    <xf numFmtId="0" fontId="8" fillId="31" borderId="0" applyNumberFormat="0" applyBorder="0" applyAlignment="0" applyProtection="0"/>
    <xf numFmtId="0" fontId="13" fillId="44" borderId="0" applyNumberFormat="0" applyBorder="0" applyAlignment="0" applyProtection="0"/>
    <xf numFmtId="0" fontId="14" fillId="12" borderId="0" applyNumberFormat="0" applyBorder="0" applyAlignment="0" applyProtection="0"/>
    <xf numFmtId="0" fontId="13" fillId="41" borderId="0" applyNumberFormat="0" applyBorder="0" applyAlignment="0" applyProtection="0"/>
    <xf numFmtId="0" fontId="14" fillId="16" borderId="0" applyNumberFormat="0" applyBorder="0" applyAlignment="0" applyProtection="0"/>
    <xf numFmtId="0" fontId="13" fillId="42" borderId="0" applyNumberFormat="0" applyBorder="0" applyAlignment="0" applyProtection="0"/>
    <xf numFmtId="0" fontId="14" fillId="20" borderId="0" applyNumberFormat="0" applyBorder="0" applyAlignment="0" applyProtection="0"/>
    <xf numFmtId="0" fontId="13" fillId="45" borderId="0" applyNumberFormat="0" applyBorder="0" applyAlignment="0" applyProtection="0"/>
    <xf numFmtId="0" fontId="14" fillId="24" borderId="0" applyNumberFormat="0" applyBorder="0" applyAlignment="0" applyProtection="0"/>
    <xf numFmtId="0" fontId="13" fillId="46" borderId="0" applyNumberFormat="0" applyBorder="0" applyAlignment="0" applyProtection="0"/>
    <xf numFmtId="0" fontId="14" fillId="28" borderId="0" applyNumberFormat="0" applyBorder="0" applyAlignment="0" applyProtection="0"/>
    <xf numFmtId="0" fontId="13" fillId="47" borderId="0" applyNumberFormat="0" applyBorder="0" applyAlignment="0" applyProtection="0"/>
    <xf numFmtId="0" fontId="14" fillId="32" borderId="0" applyNumberFormat="0" applyBorder="0" applyAlignment="0" applyProtection="0"/>
    <xf numFmtId="0" fontId="13" fillId="48" borderId="0" applyNumberFormat="0" applyBorder="0" applyAlignment="0" applyProtection="0"/>
    <xf numFmtId="0" fontId="14" fillId="9" borderId="0" applyNumberFormat="0" applyBorder="0" applyAlignment="0" applyProtection="0"/>
    <xf numFmtId="0" fontId="13" fillId="49" borderId="0" applyNumberFormat="0" applyBorder="0" applyAlignment="0" applyProtection="0"/>
    <xf numFmtId="0" fontId="14" fillId="13" borderId="0" applyNumberFormat="0" applyBorder="0" applyAlignment="0" applyProtection="0"/>
    <xf numFmtId="0" fontId="13" fillId="50" borderId="0" applyNumberFormat="0" applyBorder="0" applyAlignment="0" applyProtection="0"/>
    <xf numFmtId="0" fontId="14" fillId="17" borderId="0" applyNumberFormat="0" applyBorder="0" applyAlignment="0" applyProtection="0"/>
    <xf numFmtId="0" fontId="13" fillId="45" borderId="0" applyNumberFormat="0" applyBorder="0" applyAlignment="0" applyProtection="0"/>
    <xf numFmtId="0" fontId="14" fillId="21" borderId="0" applyNumberFormat="0" applyBorder="0" applyAlignment="0" applyProtection="0"/>
    <xf numFmtId="0" fontId="13" fillId="46" borderId="0" applyNumberFormat="0" applyBorder="0" applyAlignment="0" applyProtection="0"/>
    <xf numFmtId="0" fontId="14" fillId="25" borderId="0" applyNumberFormat="0" applyBorder="0" applyAlignment="0" applyProtection="0"/>
    <xf numFmtId="0" fontId="13" fillId="51" borderId="0" applyNumberFormat="0" applyBorder="0" applyAlignment="0" applyProtection="0"/>
    <xf numFmtId="0" fontId="14" fillId="29" borderId="0" applyNumberFormat="0" applyBorder="0" applyAlignment="0" applyProtection="0"/>
    <xf numFmtId="0" fontId="15" fillId="39" borderId="12" applyNumberFormat="0" applyAlignment="0" applyProtection="0"/>
    <xf numFmtId="0" fontId="16" fillId="5" borderId="4" applyNumberFormat="0" applyAlignment="0" applyProtection="0"/>
    <xf numFmtId="0" fontId="17" fillId="52" borderId="13" applyNumberFormat="0" applyAlignment="0" applyProtection="0"/>
    <xf numFmtId="0" fontId="18" fillId="6" borderId="5" applyNumberFormat="0" applyAlignment="0" applyProtection="0"/>
    <xf numFmtId="0" fontId="19" fillId="36" borderId="0" applyNumberFormat="0" applyBorder="0" applyAlignment="0" applyProtection="0"/>
    <xf numFmtId="0" fontId="20" fillId="2" borderId="0" applyNumberFormat="0" applyBorder="0" applyAlignment="0" applyProtection="0"/>
    <xf numFmtId="0" fontId="21" fillId="0" borderId="14" applyNumberFormat="0" applyFill="0" applyAlignment="0" applyProtection="0"/>
    <xf numFmtId="0" fontId="22" fillId="0" borderId="6" applyNumberFormat="0" applyFill="0" applyAlignment="0" applyProtection="0"/>
    <xf numFmtId="0" fontId="23" fillId="53" borderId="15" applyNumberFormat="0" applyAlignment="0" applyProtection="0"/>
    <xf numFmtId="0" fontId="24" fillId="7" borderId="7" applyNumberFormat="0" applyAlignment="0" applyProtection="0"/>
    <xf numFmtId="0" fontId="25" fillId="0" borderId="16" applyNumberFormat="0" applyFill="0" applyAlignment="0" applyProtection="0"/>
    <xf numFmtId="0" fontId="26" fillId="0" borderId="1" applyNumberFormat="0" applyFill="0" applyAlignment="0" applyProtection="0"/>
    <xf numFmtId="0" fontId="27" fillId="0" borderId="17" applyNumberFormat="0" applyFill="0" applyAlignment="0" applyProtection="0"/>
    <xf numFmtId="0" fontId="28" fillId="0" borderId="2" applyNumberFormat="0" applyFill="0" applyAlignment="0" applyProtection="0"/>
    <xf numFmtId="0" fontId="29" fillId="0" borderId="18" applyNumberFormat="0" applyFill="0" applyAlignment="0" applyProtection="0"/>
    <xf numFmtId="0" fontId="30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4" borderId="0" applyNumberFormat="0" applyBorder="0" applyAlignment="0" applyProtection="0"/>
    <xf numFmtId="0" fontId="32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34" fillId="0" borderId="0"/>
    <xf numFmtId="0" fontId="34" fillId="0" borderId="0"/>
    <xf numFmtId="0" fontId="33" fillId="0" borderId="0" applyProtection="0"/>
    <xf numFmtId="0" fontId="11" fillId="0" borderId="0"/>
    <xf numFmtId="0" fontId="34" fillId="0" borderId="0"/>
    <xf numFmtId="0" fontId="34" fillId="0" borderId="0"/>
    <xf numFmtId="0" fontId="35" fillId="52" borderId="12" applyNumberFormat="0" applyAlignment="0" applyProtection="0"/>
    <xf numFmtId="0" fontId="36" fillId="6" borderId="4" applyNumberFormat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7" fillId="0" borderId="19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55" borderId="20" applyNumberFormat="0" applyFont="0" applyAlignment="0" applyProtection="0"/>
    <xf numFmtId="0" fontId="8" fillId="8" borderId="8" applyNumberFormat="0" applyFont="0" applyAlignment="0" applyProtection="0"/>
    <xf numFmtId="0" fontId="44" fillId="35" borderId="0" applyNumberFormat="0" applyBorder="0" applyAlignment="0" applyProtection="0"/>
    <xf numFmtId="0" fontId="45" fillId="3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40">
    <xf numFmtId="0" fontId="0" fillId="0" borderId="0" xfId="0"/>
    <xf numFmtId="0" fontId="7" fillId="0" borderId="0" xfId="104"/>
    <xf numFmtId="0" fontId="8" fillId="0" borderId="0" xfId="104" applyFont="1" applyAlignment="1">
      <alignment vertical="center"/>
    </xf>
    <xf numFmtId="0" fontId="48" fillId="0" borderId="0" xfId="104" applyFont="1" applyBorder="1" applyAlignment="1">
      <alignment horizontal="center" vertical="center" wrapText="1"/>
    </xf>
    <xf numFmtId="0" fontId="48" fillId="0" borderId="0" xfId="104" applyFont="1" applyAlignment="1">
      <alignment horizontal="center" vertical="center" wrapText="1"/>
    </xf>
    <xf numFmtId="0" fontId="49" fillId="0" borderId="0" xfId="104" applyFont="1" applyAlignment="1">
      <alignment horizontal="right"/>
    </xf>
    <xf numFmtId="0" fontId="7" fillId="0" borderId="0" xfId="104" applyAlignment="1">
      <alignment vertical="center"/>
    </xf>
    <xf numFmtId="0" fontId="51" fillId="0" borderId="0" xfId="104" applyFont="1" applyAlignment="1">
      <alignment vertical="center"/>
    </xf>
    <xf numFmtId="0" fontId="52" fillId="0" borderId="33" xfId="104" applyFont="1" applyBorder="1" applyAlignment="1">
      <alignment horizontal="center" vertical="center"/>
    </xf>
    <xf numFmtId="0" fontId="52" fillId="0" borderId="23" xfId="104" applyFont="1" applyBorder="1" applyAlignment="1">
      <alignment horizontal="center" vertical="center"/>
    </xf>
    <xf numFmtId="0" fontId="52" fillId="0" borderId="34" xfId="104" applyFont="1" applyBorder="1" applyAlignment="1">
      <alignment horizontal="center" vertical="center"/>
    </xf>
    <xf numFmtId="0" fontId="53" fillId="0" borderId="0" xfId="104" applyFont="1" applyAlignment="1">
      <alignment vertical="center"/>
    </xf>
    <xf numFmtId="0" fontId="48" fillId="0" borderId="35" xfId="104" applyFont="1" applyFill="1" applyBorder="1" applyAlignment="1">
      <alignment vertical="top"/>
    </xf>
    <xf numFmtId="164" fontId="50" fillId="0" borderId="31" xfId="105" applyNumberFormat="1" applyFont="1" applyFill="1" applyBorder="1" applyAlignment="1">
      <alignment vertical="center"/>
    </xf>
    <xf numFmtId="164" fontId="50" fillId="0" borderId="36" xfId="105" applyNumberFormat="1" applyFont="1" applyFill="1" applyBorder="1" applyAlignment="1">
      <alignment vertical="center"/>
    </xf>
    <xf numFmtId="0" fontId="7" fillId="0" borderId="0" xfId="104" applyFill="1" applyAlignment="1">
      <alignment vertical="center"/>
    </xf>
    <xf numFmtId="0" fontId="48" fillId="0" borderId="37" xfId="104" applyFont="1" applyFill="1" applyBorder="1" applyAlignment="1">
      <alignment vertical="top"/>
    </xf>
    <xf numFmtId="164" fontId="50" fillId="0" borderId="30" xfId="105" applyNumberFormat="1" applyFont="1" applyFill="1" applyBorder="1" applyAlignment="1">
      <alignment vertical="center"/>
    </xf>
    <xf numFmtId="164" fontId="50" fillId="0" borderId="38" xfId="105" applyNumberFormat="1" applyFont="1" applyFill="1" applyBorder="1" applyAlignment="1">
      <alignment vertical="center"/>
    </xf>
    <xf numFmtId="0" fontId="12" fillId="0" borderId="51" xfId="104" applyFont="1" applyFill="1" applyBorder="1" applyAlignment="1">
      <alignment vertical="top" wrapText="1"/>
    </xf>
    <xf numFmtId="0" fontId="12" fillId="0" borderId="23" xfId="104" applyFont="1" applyFill="1" applyBorder="1" applyAlignment="1">
      <alignment horizontal="center" vertical="center" wrapText="1"/>
    </xf>
    <xf numFmtId="0" fontId="12" fillId="0" borderId="23" xfId="104" applyFont="1" applyFill="1" applyBorder="1" applyAlignment="1">
      <alignment horizontal="center" vertical="center"/>
    </xf>
    <xf numFmtId="164" fontId="56" fillId="0" borderId="22" xfId="105" applyNumberFormat="1" applyFont="1" applyFill="1" applyBorder="1" applyAlignment="1">
      <alignment horizontal="center" vertical="center"/>
    </xf>
    <xf numFmtId="164" fontId="57" fillId="0" borderId="22" xfId="105" applyNumberFormat="1" applyFont="1" applyFill="1" applyBorder="1" applyAlignment="1">
      <alignment vertical="center"/>
    </xf>
    <xf numFmtId="164" fontId="58" fillId="0" borderId="22" xfId="105" applyNumberFormat="1" applyFont="1" applyFill="1" applyBorder="1" applyAlignment="1">
      <alignment horizontal="center" vertical="center"/>
    </xf>
    <xf numFmtId="164" fontId="50" fillId="0" borderId="22" xfId="105" applyNumberFormat="1" applyFont="1" applyFill="1" applyBorder="1" applyAlignment="1">
      <alignment horizontal="center" vertical="center"/>
    </xf>
    <xf numFmtId="164" fontId="57" fillId="0" borderId="38" xfId="105" applyNumberFormat="1" applyFont="1" applyFill="1" applyBorder="1" applyAlignment="1">
      <alignment horizontal="center" vertical="center"/>
    </xf>
    <xf numFmtId="0" fontId="48" fillId="0" borderId="35" xfId="104" applyFont="1" applyFill="1" applyBorder="1" applyAlignment="1">
      <alignment horizontal="center" vertical="top"/>
    </xf>
    <xf numFmtId="0" fontId="12" fillId="0" borderId="52" xfId="104" applyFont="1" applyFill="1" applyBorder="1" applyAlignment="1">
      <alignment vertical="top" wrapText="1"/>
    </xf>
    <xf numFmtId="0" fontId="12" fillId="0" borderId="29" xfId="104" applyFont="1" applyFill="1" applyBorder="1" applyAlignment="1">
      <alignment horizontal="center" vertical="center" wrapText="1"/>
    </xf>
    <xf numFmtId="0" fontId="12" fillId="0" borderId="29" xfId="104" applyFont="1" applyFill="1" applyBorder="1" applyAlignment="1">
      <alignment horizontal="center" vertical="center"/>
    </xf>
    <xf numFmtId="164" fontId="56" fillId="0" borderId="31" xfId="105" applyNumberFormat="1" applyFont="1" applyFill="1" applyBorder="1" applyAlignment="1">
      <alignment horizontal="center" vertical="center"/>
    </xf>
    <xf numFmtId="164" fontId="57" fillId="0" borderId="31" xfId="105" applyNumberFormat="1" applyFont="1" applyFill="1" applyBorder="1" applyAlignment="1">
      <alignment vertical="center"/>
    </xf>
    <xf numFmtId="164" fontId="57" fillId="0" borderId="31" xfId="105" applyNumberFormat="1" applyFont="1" applyFill="1" applyBorder="1" applyAlignment="1">
      <alignment horizontal="center" vertical="center"/>
    </xf>
    <xf numFmtId="0" fontId="42" fillId="0" borderId="0" xfId="104" applyFont="1" applyFill="1" applyAlignment="1">
      <alignment vertical="center"/>
    </xf>
    <xf numFmtId="0" fontId="12" fillId="0" borderId="30" xfId="104" applyFont="1" applyFill="1" applyBorder="1" applyAlignment="1">
      <alignment vertical="top" wrapText="1"/>
    </xf>
    <xf numFmtId="0" fontId="12" fillId="0" borderId="30" xfId="104" applyFont="1" applyFill="1" applyBorder="1" applyAlignment="1">
      <alignment horizontal="center" vertical="center" wrapText="1"/>
    </xf>
    <xf numFmtId="0" fontId="12" fillId="0" borderId="30" xfId="104" applyFont="1" applyFill="1" applyBorder="1" applyAlignment="1">
      <alignment horizontal="center" vertical="center"/>
    </xf>
    <xf numFmtId="164" fontId="56" fillId="0" borderId="29" xfId="105" applyNumberFormat="1" applyFont="1" applyFill="1" applyBorder="1" applyAlignment="1">
      <alignment vertical="center"/>
    </xf>
    <xf numFmtId="164" fontId="57" fillId="0" borderId="29" xfId="105" applyNumberFormat="1" applyFont="1" applyFill="1" applyBorder="1" applyAlignment="1">
      <alignment vertical="center"/>
    </xf>
    <xf numFmtId="164" fontId="56" fillId="0" borderId="53" xfId="105" applyNumberFormat="1" applyFont="1" applyFill="1" applyBorder="1" applyAlignment="1">
      <alignment horizontal="center" vertical="center"/>
    </xf>
    <xf numFmtId="164" fontId="56" fillId="0" borderId="29" xfId="105" applyNumberFormat="1" applyFont="1" applyFill="1" applyBorder="1" applyAlignment="1">
      <alignment horizontal="center" vertical="center"/>
    </xf>
    <xf numFmtId="0" fontId="8" fillId="0" borderId="0" xfId="104" applyFont="1" applyFill="1" applyAlignment="1">
      <alignment vertical="center"/>
    </xf>
    <xf numFmtId="0" fontId="12" fillId="0" borderId="31" xfId="0" applyFont="1" applyBorder="1" applyAlignment="1">
      <alignment vertical="center" wrapText="1"/>
    </xf>
    <xf numFmtId="0" fontId="12" fillId="56" borderId="31" xfId="104" applyFont="1" applyFill="1" applyBorder="1" applyAlignment="1">
      <alignment horizontal="center" vertical="center" wrapText="1"/>
    </xf>
    <xf numFmtId="0" fontId="12" fillId="0" borderId="31" xfId="104" applyFont="1" applyFill="1" applyBorder="1" applyAlignment="1">
      <alignment horizontal="center" vertical="center"/>
    </xf>
    <xf numFmtId="164" fontId="56" fillId="0" borderId="31" xfId="105" applyNumberFormat="1" applyFont="1" applyFill="1" applyBorder="1" applyAlignment="1">
      <alignment vertical="center"/>
    </xf>
    <xf numFmtId="164" fontId="57" fillId="0" borderId="30" xfId="105" applyNumberFormat="1" applyFont="1" applyFill="1" applyBorder="1" applyAlignment="1">
      <alignment vertical="center"/>
    </xf>
    <xf numFmtId="164" fontId="56" fillId="0" borderId="30" xfId="105" applyNumberFormat="1" applyFont="1" applyFill="1" applyBorder="1" applyAlignment="1">
      <alignment horizontal="center" vertical="center"/>
    </xf>
    <xf numFmtId="0" fontId="59" fillId="0" borderId="31" xfId="0" applyFont="1" applyBorder="1" applyAlignment="1">
      <alignment horizontal="left" vertical="center" wrapText="1"/>
    </xf>
    <xf numFmtId="0" fontId="59" fillId="0" borderId="30" xfId="0" applyFont="1" applyBorder="1" applyAlignment="1">
      <alignment horizontal="left" vertical="center" wrapText="1"/>
    </xf>
    <xf numFmtId="0" fontId="12" fillId="56" borderId="30" xfId="104" applyFont="1" applyFill="1" applyBorder="1" applyAlignment="1">
      <alignment horizontal="center" vertical="center" wrapText="1"/>
    </xf>
    <xf numFmtId="164" fontId="56" fillId="0" borderId="30" xfId="105" applyNumberFormat="1" applyFont="1" applyFill="1" applyBorder="1" applyAlignment="1">
      <alignment vertical="center"/>
    </xf>
    <xf numFmtId="164" fontId="57" fillId="0" borderId="30" xfId="105" applyNumberFormat="1" applyFont="1" applyFill="1" applyBorder="1" applyAlignment="1">
      <alignment horizontal="center" vertical="center"/>
    </xf>
    <xf numFmtId="164" fontId="50" fillId="56" borderId="30" xfId="105" applyNumberFormat="1" applyFont="1" applyFill="1" applyBorder="1" applyAlignment="1">
      <alignment vertical="center"/>
    </xf>
    <xf numFmtId="164" fontId="58" fillId="56" borderId="30" xfId="105" applyNumberFormat="1" applyFont="1" applyFill="1" applyBorder="1" applyAlignment="1">
      <alignment vertical="center"/>
    </xf>
    <xf numFmtId="164" fontId="56" fillId="56" borderId="30" xfId="105" applyNumberFormat="1" applyFont="1" applyFill="1" applyBorder="1" applyAlignment="1">
      <alignment horizontal="center" vertical="center"/>
    </xf>
    <xf numFmtId="0" fontId="9" fillId="0" borderId="0" xfId="104" applyFont="1" applyFill="1" applyAlignment="1">
      <alignment vertical="center"/>
    </xf>
    <xf numFmtId="0" fontId="12" fillId="56" borderId="31" xfId="104" applyFont="1" applyFill="1" applyBorder="1" applyAlignment="1">
      <alignment vertical="top" wrapText="1"/>
    </xf>
    <xf numFmtId="0" fontId="12" fillId="56" borderId="31" xfId="104" applyFont="1" applyFill="1" applyBorder="1" applyAlignment="1">
      <alignment horizontal="center" vertical="center"/>
    </xf>
    <xf numFmtId="164" fontId="56" fillId="56" borderId="31" xfId="105" applyNumberFormat="1" applyFont="1" applyFill="1" applyBorder="1" applyAlignment="1">
      <alignment vertical="center"/>
    </xf>
    <xf numFmtId="164" fontId="57" fillId="56" borderId="31" xfId="105" applyNumberFormat="1" applyFont="1" applyFill="1" applyBorder="1" applyAlignment="1"/>
    <xf numFmtId="164" fontId="56" fillId="56" borderId="31" xfId="105" applyNumberFormat="1" applyFont="1" applyFill="1" applyBorder="1" applyAlignment="1">
      <alignment horizontal="center" vertical="center"/>
    </xf>
    <xf numFmtId="164" fontId="57" fillId="56" borderId="31" xfId="105" applyNumberFormat="1" applyFont="1" applyFill="1" applyBorder="1" applyAlignment="1">
      <alignment vertical="center"/>
    </xf>
    <xf numFmtId="164" fontId="57" fillId="56" borderId="31" xfId="105" applyNumberFormat="1" applyFont="1" applyFill="1" applyBorder="1" applyAlignment="1">
      <alignment horizontal="center" vertical="center"/>
    </xf>
    <xf numFmtId="0" fontId="12" fillId="56" borderId="30" xfId="104" applyFont="1" applyFill="1" applyBorder="1" applyAlignment="1">
      <alignment vertical="top" wrapText="1"/>
    </xf>
    <xf numFmtId="0" fontId="12" fillId="56" borderId="30" xfId="104" applyFont="1" applyFill="1" applyBorder="1" applyAlignment="1">
      <alignment vertical="center" wrapText="1"/>
    </xf>
    <xf numFmtId="0" fontId="12" fillId="56" borderId="31" xfId="104" applyFont="1" applyFill="1" applyBorder="1" applyAlignment="1">
      <alignment vertical="center" wrapText="1"/>
    </xf>
    <xf numFmtId="0" fontId="12" fillId="0" borderId="31" xfId="104" applyFont="1" applyFill="1" applyBorder="1" applyAlignment="1">
      <alignment vertical="center" wrapText="1"/>
    </xf>
    <xf numFmtId="0" fontId="12" fillId="0" borderId="31" xfId="104" applyFont="1" applyFill="1" applyBorder="1" applyAlignment="1">
      <alignment horizontal="center" vertical="center" wrapText="1"/>
    </xf>
    <xf numFmtId="0" fontId="48" fillId="0" borderId="37" xfId="104" applyFont="1" applyFill="1" applyBorder="1" applyAlignment="1">
      <alignment horizontal="center" vertical="top"/>
    </xf>
    <xf numFmtId="0" fontId="12" fillId="56" borderId="30" xfId="104" applyFont="1" applyFill="1" applyBorder="1" applyAlignment="1">
      <alignment horizontal="center" vertical="center"/>
    </xf>
    <xf numFmtId="164" fontId="56" fillId="56" borderId="30" xfId="105" applyNumberFormat="1" applyFont="1" applyFill="1" applyBorder="1" applyAlignment="1">
      <alignment vertical="center"/>
    </xf>
    <xf numFmtId="164" fontId="57" fillId="56" borderId="29" xfId="105" applyNumberFormat="1" applyFont="1" applyFill="1" applyBorder="1" applyAlignment="1">
      <alignment vertical="center"/>
    </xf>
    <xf numFmtId="164" fontId="57" fillId="56" borderId="30" xfId="105" applyNumberFormat="1" applyFont="1" applyFill="1" applyBorder="1" applyAlignment="1">
      <alignment horizontal="center" vertical="center"/>
    </xf>
    <xf numFmtId="164" fontId="57" fillId="56" borderId="30" xfId="105" applyNumberFormat="1" applyFont="1" applyFill="1" applyBorder="1" applyAlignment="1">
      <alignment vertical="center"/>
    </xf>
    <xf numFmtId="164" fontId="56" fillId="56" borderId="29" xfId="105" applyNumberFormat="1" applyFont="1" applyFill="1" applyBorder="1" applyAlignment="1">
      <alignment horizontal="center" vertical="center"/>
    </xf>
    <xf numFmtId="0" fontId="12" fillId="56" borderId="54" xfId="104" applyFont="1" applyFill="1" applyBorder="1" applyAlignment="1">
      <alignment vertical="top" wrapText="1"/>
    </xf>
    <xf numFmtId="0" fontId="12" fillId="56" borderId="29" xfId="104" applyFont="1" applyFill="1" applyBorder="1" applyAlignment="1">
      <alignment horizontal="center" vertical="center" wrapText="1"/>
    </xf>
    <xf numFmtId="0" fontId="12" fillId="56" borderId="54" xfId="104" applyFont="1" applyFill="1" applyBorder="1" applyAlignment="1">
      <alignment horizontal="center" vertical="center"/>
    </xf>
    <xf numFmtId="0" fontId="12" fillId="56" borderId="55" xfId="104" applyFont="1" applyFill="1" applyBorder="1" applyAlignment="1">
      <alignment horizontal="center" vertical="center"/>
    </xf>
    <xf numFmtId="164" fontId="56" fillId="56" borderId="54" xfId="105" applyNumberFormat="1" applyFont="1" applyFill="1" applyBorder="1" applyAlignment="1">
      <alignment vertical="center"/>
    </xf>
    <xf numFmtId="164" fontId="57" fillId="56" borderId="54" xfId="105" applyNumberFormat="1" applyFont="1" applyFill="1" applyBorder="1" applyAlignment="1">
      <alignment vertical="center"/>
    </xf>
    <xf numFmtId="164" fontId="56" fillId="56" borderId="54" xfId="105" applyNumberFormat="1" applyFont="1" applyFill="1" applyBorder="1" applyAlignment="1">
      <alignment horizontal="center" vertical="center"/>
    </xf>
    <xf numFmtId="164" fontId="57" fillId="56" borderId="54" xfId="105" applyNumberFormat="1" applyFont="1" applyFill="1" applyBorder="1" applyAlignment="1">
      <alignment horizontal="center" vertical="center"/>
    </xf>
    <xf numFmtId="0" fontId="7" fillId="56" borderId="0" xfId="104" applyFill="1" applyAlignment="1">
      <alignment vertical="center"/>
    </xf>
    <xf numFmtId="0" fontId="10" fillId="56" borderId="0" xfId="104" applyFont="1" applyFill="1" applyAlignment="1">
      <alignment vertical="center"/>
    </xf>
    <xf numFmtId="164" fontId="62" fillId="56" borderId="0" xfId="104" applyNumberFormat="1" applyFont="1" applyFill="1" applyAlignment="1">
      <alignment vertical="center"/>
    </xf>
    <xf numFmtId="0" fontId="62" fillId="56" borderId="0" xfId="104" applyFont="1" applyFill="1" applyAlignment="1">
      <alignment vertical="center"/>
    </xf>
    <xf numFmtId="0" fontId="12" fillId="56" borderId="31" xfId="104" applyFont="1" applyFill="1" applyBorder="1" applyAlignment="1">
      <alignment horizontal="left" vertical="top" wrapText="1"/>
    </xf>
    <xf numFmtId="0" fontId="50" fillId="56" borderId="31" xfId="104" applyFont="1" applyFill="1" applyBorder="1" applyAlignment="1">
      <alignment horizontal="center" vertical="center"/>
    </xf>
    <xf numFmtId="164" fontId="50" fillId="56" borderId="31" xfId="105" applyNumberFormat="1" applyFont="1" applyFill="1" applyBorder="1" applyAlignment="1">
      <alignment vertical="center"/>
    </xf>
    <xf numFmtId="164" fontId="58" fillId="56" borderId="31" xfId="105" applyNumberFormat="1" applyFont="1" applyFill="1" applyBorder="1" applyAlignment="1">
      <alignment vertical="center"/>
    </xf>
    <xf numFmtId="0" fontId="12" fillId="56" borderId="30" xfId="104" applyFont="1" applyFill="1" applyBorder="1" applyAlignment="1">
      <alignment horizontal="left" vertical="top" wrapText="1"/>
    </xf>
    <xf numFmtId="0" fontId="50" fillId="56" borderId="30" xfId="104" applyFont="1" applyFill="1" applyBorder="1" applyAlignment="1">
      <alignment horizontal="center" vertical="center"/>
    </xf>
    <xf numFmtId="164" fontId="58" fillId="56" borderId="29" xfId="105" applyNumberFormat="1" applyFont="1" applyFill="1" applyBorder="1" applyAlignment="1">
      <alignment vertical="center"/>
    </xf>
    <xf numFmtId="0" fontId="48" fillId="0" borderId="56" xfId="104" applyFont="1" applyFill="1" applyBorder="1" applyAlignment="1">
      <alignment vertical="top" wrapText="1"/>
    </xf>
    <xf numFmtId="164" fontId="50" fillId="0" borderId="53" xfId="105" applyNumberFormat="1" applyFont="1" applyFill="1" applyBorder="1" applyAlignment="1">
      <alignment vertical="center"/>
    </xf>
    <xf numFmtId="164" fontId="58" fillId="0" borderId="53" xfId="105" applyNumberFormat="1" applyFont="1" applyFill="1" applyBorder="1" applyAlignment="1">
      <alignment vertical="center"/>
    </xf>
    <xf numFmtId="164" fontId="58" fillId="0" borderId="52" xfId="105" applyNumberFormat="1" applyFont="1" applyFill="1" applyBorder="1" applyAlignment="1">
      <alignment vertical="center"/>
    </xf>
    <xf numFmtId="0" fontId="60" fillId="0" borderId="58" xfId="104" applyFont="1" applyFill="1" applyBorder="1" applyAlignment="1">
      <alignment vertical="top"/>
    </xf>
    <xf numFmtId="164" fontId="58" fillId="0" borderId="31" xfId="105" applyNumberFormat="1" applyFont="1" applyFill="1" applyBorder="1" applyAlignment="1">
      <alignment vertical="center"/>
    </xf>
    <xf numFmtId="0" fontId="60" fillId="0" borderId="55" xfId="104" applyFont="1" applyFill="1" applyBorder="1" applyAlignment="1">
      <alignment vertical="top"/>
    </xf>
    <xf numFmtId="164" fontId="58" fillId="0" borderId="54" xfId="105" applyNumberFormat="1" applyFont="1" applyFill="1" applyBorder="1" applyAlignment="1">
      <alignment vertical="center"/>
    </xf>
    <xf numFmtId="164" fontId="58" fillId="0" borderId="46" xfId="105" applyNumberFormat="1" applyFont="1" applyFill="1" applyBorder="1" applyAlignment="1">
      <alignment vertical="center"/>
    </xf>
    <xf numFmtId="0" fontId="48" fillId="0" borderId="51" xfId="104" applyFont="1" applyFill="1" applyBorder="1" applyAlignment="1">
      <alignment vertical="top" wrapText="1"/>
    </xf>
    <xf numFmtId="164" fontId="50" fillId="0" borderId="23" xfId="105" applyNumberFormat="1" applyFont="1" applyFill="1" applyBorder="1" applyAlignment="1">
      <alignment vertical="center"/>
    </xf>
    <xf numFmtId="164" fontId="58" fillId="0" borderId="23" xfId="105" applyNumberFormat="1" applyFont="1" applyFill="1" applyBorder="1" applyAlignment="1">
      <alignment vertical="center"/>
    </xf>
    <xf numFmtId="164" fontId="58" fillId="0" borderId="24" xfId="105" applyNumberFormat="1" applyFont="1" applyFill="1" applyBorder="1" applyAlignment="1">
      <alignment vertical="center"/>
    </xf>
    <xf numFmtId="0" fontId="12" fillId="56" borderId="37" xfId="104" applyFont="1" applyFill="1" applyBorder="1" applyAlignment="1">
      <alignment horizontal="center" vertical="top"/>
    </xf>
    <xf numFmtId="0" fontId="12" fillId="56" borderId="24" xfId="104" applyFont="1" applyFill="1" applyBorder="1" applyAlignment="1">
      <alignment vertical="top" wrapText="1"/>
    </xf>
    <xf numFmtId="164" fontId="56" fillId="56" borderId="22" xfId="105" applyNumberFormat="1" applyFont="1" applyFill="1" applyBorder="1" applyAlignment="1">
      <alignment vertical="center"/>
    </xf>
    <xf numFmtId="164" fontId="57" fillId="56" borderId="22" xfId="105" applyNumberFormat="1" applyFont="1" applyFill="1" applyBorder="1" applyAlignment="1">
      <alignment vertical="center"/>
    </xf>
    <xf numFmtId="164" fontId="57" fillId="56" borderId="22" xfId="105" applyNumberFormat="1" applyFont="1" applyFill="1" applyBorder="1" applyAlignment="1">
      <alignment horizontal="center" vertical="center"/>
    </xf>
    <xf numFmtId="0" fontId="12" fillId="56" borderId="28" xfId="104" applyFont="1" applyFill="1" applyBorder="1" applyAlignment="1">
      <alignment horizontal="center" vertical="top"/>
    </xf>
    <xf numFmtId="0" fontId="12" fillId="56" borderId="52" xfId="104" applyFont="1" applyFill="1" applyBorder="1" applyAlignment="1">
      <alignment vertical="top" wrapText="1"/>
    </xf>
    <xf numFmtId="0" fontId="12" fillId="56" borderId="53" xfId="104" applyFont="1" applyFill="1" applyBorder="1" applyAlignment="1">
      <alignment horizontal="center" vertical="center" wrapText="1"/>
    </xf>
    <xf numFmtId="0" fontId="12" fillId="56" borderId="53" xfId="104" applyFont="1" applyFill="1" applyBorder="1" applyAlignment="1">
      <alignment horizontal="center" vertical="center"/>
    </xf>
    <xf numFmtId="164" fontId="56" fillId="56" borderId="53" xfId="105" applyNumberFormat="1" applyFont="1" applyFill="1" applyBorder="1" applyAlignment="1">
      <alignment vertical="center"/>
    </xf>
    <xf numFmtId="164" fontId="57" fillId="56" borderId="53" xfId="105" applyNumberFormat="1" applyFont="1" applyFill="1" applyBorder="1" applyAlignment="1">
      <alignment vertical="center"/>
    </xf>
    <xf numFmtId="164" fontId="57" fillId="56" borderId="53" xfId="105" applyNumberFormat="1" applyFont="1" applyFill="1" applyBorder="1" applyAlignment="1">
      <alignment horizontal="center" vertical="center"/>
    </xf>
    <xf numFmtId="164" fontId="57" fillId="0" borderId="32" xfId="105" applyNumberFormat="1" applyFont="1" applyFill="1" applyBorder="1" applyAlignment="1">
      <alignment horizontal="center" vertical="center"/>
    </xf>
    <xf numFmtId="0" fontId="12" fillId="56" borderId="29" xfId="104" applyFont="1" applyFill="1" applyBorder="1" applyAlignment="1">
      <alignment horizontal="center" vertical="center"/>
    </xf>
    <xf numFmtId="164" fontId="56" fillId="56" borderId="29" xfId="105" applyNumberFormat="1" applyFont="1" applyFill="1" applyBorder="1" applyAlignment="1">
      <alignment vertical="center"/>
    </xf>
    <xf numFmtId="164" fontId="57" fillId="56" borderId="29" xfId="105" applyNumberFormat="1" applyFont="1" applyFill="1" applyBorder="1" applyAlignment="1">
      <alignment horizontal="center" vertical="center"/>
    </xf>
    <xf numFmtId="0" fontId="12" fillId="56" borderId="61" xfId="104" applyFont="1" applyFill="1" applyBorder="1" applyAlignment="1">
      <alignment vertical="top" wrapText="1"/>
    </xf>
    <xf numFmtId="0" fontId="12" fillId="56" borderId="64" xfId="104" applyFont="1" applyFill="1" applyBorder="1" applyAlignment="1">
      <alignment horizontal="center" vertical="top"/>
    </xf>
    <xf numFmtId="0" fontId="12" fillId="56" borderId="55" xfId="104" applyFont="1" applyFill="1" applyBorder="1" applyAlignment="1">
      <alignment vertical="top" wrapText="1"/>
    </xf>
    <xf numFmtId="0" fontId="12" fillId="56" borderId="54" xfId="104" applyFont="1" applyFill="1" applyBorder="1" applyAlignment="1">
      <alignment horizontal="center" vertical="center" wrapText="1"/>
    </xf>
    <xf numFmtId="0" fontId="60" fillId="0" borderId="0" xfId="104" applyFont="1" applyFill="1" applyAlignment="1">
      <alignment vertical="center"/>
    </xf>
    <xf numFmtId="0" fontId="60" fillId="0" borderId="0" xfId="104" applyFont="1" applyAlignment="1">
      <alignment vertical="center"/>
    </xf>
    <xf numFmtId="164" fontId="60" fillId="0" borderId="0" xfId="104" applyNumberFormat="1" applyFont="1" applyAlignment="1">
      <alignment vertical="center"/>
    </xf>
    <xf numFmtId="0" fontId="60" fillId="33" borderId="0" xfId="104" applyFont="1" applyFill="1" applyAlignment="1">
      <alignment vertical="center"/>
    </xf>
    <xf numFmtId="164" fontId="60" fillId="33" borderId="0" xfId="104" applyNumberFormat="1" applyFont="1" applyFill="1" applyAlignment="1">
      <alignment vertical="center"/>
    </xf>
    <xf numFmtId="0" fontId="7" fillId="33" borderId="0" xfId="104" applyFill="1" applyAlignment="1">
      <alignment vertical="center"/>
    </xf>
    <xf numFmtId="0" fontId="50" fillId="33" borderId="35" xfId="104" applyFont="1" applyFill="1" applyBorder="1" applyAlignment="1">
      <alignment vertical="top"/>
    </xf>
    <xf numFmtId="164" fontId="50" fillId="33" borderId="31" xfId="105" applyNumberFormat="1" applyFont="1" applyFill="1" applyBorder="1" applyAlignment="1">
      <alignment vertical="center"/>
    </xf>
    <xf numFmtId="164" fontId="50" fillId="33" borderId="36" xfId="105" applyNumberFormat="1" applyFont="1" applyFill="1" applyBorder="1" applyAlignment="1">
      <alignment vertical="center"/>
    </xf>
    <xf numFmtId="0" fontId="46" fillId="0" borderId="0" xfId="104" applyFont="1" applyAlignment="1">
      <alignment horizontal="right" wrapText="1"/>
    </xf>
    <xf numFmtId="0" fontId="48" fillId="56" borderId="39" xfId="104" applyFont="1" applyFill="1" applyBorder="1" applyAlignment="1">
      <alignment vertical="top"/>
    </xf>
    <xf numFmtId="164" fontId="50" fillId="56" borderId="43" xfId="105" applyNumberFormat="1" applyFont="1" applyFill="1" applyBorder="1" applyAlignment="1">
      <alignment vertical="center"/>
    </xf>
    <xf numFmtId="164" fontId="50" fillId="56" borderId="44" xfId="105" applyNumberFormat="1" applyFont="1" applyFill="1" applyBorder="1" applyAlignment="1">
      <alignment vertical="center"/>
    </xf>
    <xf numFmtId="0" fontId="48" fillId="56" borderId="45" xfId="104" applyFont="1" applyFill="1" applyBorder="1" applyAlignment="1">
      <alignment vertical="top"/>
    </xf>
    <xf numFmtId="164" fontId="50" fillId="56" borderId="49" xfId="105" applyNumberFormat="1" applyFont="1" applyFill="1" applyBorder="1" applyAlignment="1">
      <alignment vertical="center"/>
    </xf>
    <xf numFmtId="164" fontId="50" fillId="56" borderId="50" xfId="105" applyNumberFormat="1" applyFont="1" applyFill="1" applyBorder="1" applyAlignment="1">
      <alignment vertical="center"/>
    </xf>
    <xf numFmtId="164" fontId="58" fillId="56" borderId="43" xfId="105" applyNumberFormat="1" applyFont="1" applyFill="1" applyBorder="1" applyAlignment="1">
      <alignment vertical="center"/>
    </xf>
    <xf numFmtId="164" fontId="58" fillId="56" borderId="44" xfId="105" applyNumberFormat="1" applyFont="1" applyFill="1" applyBorder="1" applyAlignment="1">
      <alignment vertical="center"/>
    </xf>
    <xf numFmtId="0" fontId="48" fillId="56" borderId="28" xfId="104" applyFont="1" applyFill="1" applyBorder="1" applyAlignment="1">
      <alignment vertical="top"/>
    </xf>
    <xf numFmtId="164" fontId="58" fillId="56" borderId="49" xfId="105" applyNumberFormat="1" applyFont="1" applyFill="1" applyBorder="1" applyAlignment="1">
      <alignment vertical="center"/>
    </xf>
    <xf numFmtId="164" fontId="58" fillId="56" borderId="50" xfId="105" applyNumberFormat="1" applyFont="1" applyFill="1" applyBorder="1" applyAlignment="1">
      <alignment vertical="center"/>
    </xf>
    <xf numFmtId="0" fontId="48" fillId="56" borderId="56" xfId="104" applyFont="1" applyFill="1" applyBorder="1" applyAlignment="1">
      <alignment vertical="top"/>
    </xf>
    <xf numFmtId="164" fontId="58" fillId="56" borderId="57" xfId="105" applyNumberFormat="1" applyFont="1" applyFill="1" applyBorder="1" applyAlignment="1">
      <alignment vertical="center"/>
    </xf>
    <xf numFmtId="0" fontId="60" fillId="56" borderId="58" xfId="104" applyFont="1" applyFill="1" applyBorder="1" applyAlignment="1">
      <alignment vertical="top"/>
    </xf>
    <xf numFmtId="164" fontId="58" fillId="56" borderId="11" xfId="105" applyNumberFormat="1" applyFont="1" applyFill="1" applyBorder="1" applyAlignment="1">
      <alignment vertical="center"/>
    </xf>
    <xf numFmtId="164" fontId="58" fillId="56" borderId="53" xfId="105" applyNumberFormat="1" applyFont="1" applyFill="1" applyBorder="1" applyAlignment="1">
      <alignment vertical="center"/>
    </xf>
    <xf numFmtId="0" fontId="48" fillId="56" borderId="58" xfId="104" applyFont="1" applyFill="1" applyBorder="1" applyAlignment="1">
      <alignment vertical="top"/>
    </xf>
    <xf numFmtId="164" fontId="58" fillId="56" borderId="10" xfId="105" applyNumberFormat="1" applyFont="1" applyFill="1" applyBorder="1" applyAlignment="1">
      <alignment vertical="center"/>
    </xf>
    <xf numFmtId="0" fontId="60" fillId="56" borderId="61" xfId="104" applyFont="1" applyFill="1" applyBorder="1" applyAlignment="1">
      <alignment vertical="top"/>
    </xf>
    <xf numFmtId="164" fontId="58" fillId="56" borderId="62" xfId="105" applyNumberFormat="1" applyFont="1" applyFill="1" applyBorder="1" applyAlignment="1">
      <alignment vertical="center"/>
    </xf>
    <xf numFmtId="0" fontId="54" fillId="56" borderId="39" xfId="104" applyFont="1" applyFill="1" applyBorder="1" applyAlignment="1">
      <alignment vertical="top"/>
    </xf>
    <xf numFmtId="164" fontId="61" fillId="56" borderId="43" xfId="105" applyNumberFormat="1" applyFont="1" applyFill="1" applyBorder="1" applyAlignment="1">
      <alignment vertical="center"/>
    </xf>
    <xf numFmtId="164" fontId="61" fillId="56" borderId="66" xfId="105" applyNumberFormat="1" applyFont="1" applyFill="1" applyBorder="1" applyAlignment="1">
      <alignment vertical="center"/>
    </xf>
    <xf numFmtId="164" fontId="57" fillId="0" borderId="36" xfId="105" applyNumberFormat="1" applyFont="1" applyFill="1" applyBorder="1" applyAlignment="1">
      <alignment horizontal="center" vertical="center"/>
    </xf>
    <xf numFmtId="0" fontId="48" fillId="56" borderId="35" xfId="104" applyFont="1" applyFill="1" applyBorder="1" applyAlignment="1">
      <alignment vertical="top"/>
    </xf>
    <xf numFmtId="0" fontId="12" fillId="56" borderId="35" xfId="104" applyFont="1" applyFill="1" applyBorder="1" applyAlignment="1">
      <alignment horizontal="center" vertical="top"/>
    </xf>
    <xf numFmtId="164" fontId="57" fillId="0" borderId="65" xfId="105" applyNumberFormat="1" applyFont="1" applyFill="1" applyBorder="1" applyAlignment="1">
      <alignment horizontal="center" vertical="center"/>
    </xf>
    <xf numFmtId="0" fontId="12" fillId="56" borderId="31" xfId="104" applyNumberFormat="1" applyFont="1" applyFill="1" applyBorder="1" applyAlignment="1">
      <alignment horizontal="left" vertical="top" wrapText="1"/>
    </xf>
    <xf numFmtId="0" fontId="54" fillId="56" borderId="31" xfId="104" applyFont="1" applyFill="1" applyBorder="1" applyAlignment="1">
      <alignment horizontal="center" vertical="center"/>
    </xf>
    <xf numFmtId="0" fontId="12" fillId="56" borderId="53" xfId="104" applyNumberFormat="1" applyFont="1" applyFill="1" applyBorder="1" applyAlignment="1">
      <alignment horizontal="left" vertical="top" wrapText="1"/>
    </xf>
    <xf numFmtId="0" fontId="50" fillId="56" borderId="53" xfId="104" applyFont="1" applyFill="1" applyBorder="1" applyAlignment="1">
      <alignment horizontal="center" vertical="center"/>
    </xf>
    <xf numFmtId="164" fontId="50" fillId="56" borderId="53" xfId="105" applyNumberFormat="1" applyFont="1" applyFill="1" applyBorder="1" applyAlignment="1">
      <alignment vertical="center"/>
    </xf>
    <xf numFmtId="164" fontId="61" fillId="56" borderId="40" xfId="105" applyNumberFormat="1" applyFont="1" applyFill="1" applyBorder="1" applyAlignment="1">
      <alignment vertical="center"/>
    </xf>
    <xf numFmtId="0" fontId="48" fillId="56" borderId="37" xfId="104" applyFont="1" applyFill="1" applyBorder="1" applyAlignment="1">
      <alignment vertical="top"/>
    </xf>
    <xf numFmtId="0" fontId="48" fillId="56" borderId="63" xfId="104" applyFont="1" applyFill="1" applyBorder="1" applyAlignment="1">
      <alignment vertical="top"/>
    </xf>
    <xf numFmtId="164" fontId="57" fillId="0" borderId="60" xfId="105" applyNumberFormat="1" applyFont="1" applyFill="1" applyBorder="1" applyAlignment="1">
      <alignment horizontal="center" vertical="center"/>
    </xf>
    <xf numFmtId="0" fontId="48" fillId="56" borderId="45" xfId="104" applyFont="1" applyFill="1" applyBorder="1" applyAlignment="1">
      <alignment horizontal="center" vertical="top"/>
    </xf>
    <xf numFmtId="164" fontId="58" fillId="56" borderId="31" xfId="105" applyNumberFormat="1" applyFont="1" applyFill="1" applyBorder="1" applyAlignment="1">
      <alignment horizontal="center" vertical="center"/>
    </xf>
    <xf numFmtId="49" fontId="69" fillId="57" borderId="68" xfId="2" applyNumberFormat="1" applyFont="1" applyFill="1" applyBorder="1" applyAlignment="1">
      <alignment horizontal="center" vertical="center"/>
    </xf>
    <xf numFmtId="49" fontId="69" fillId="57" borderId="69" xfId="2" applyNumberFormat="1" applyFont="1" applyFill="1" applyBorder="1" applyAlignment="1" applyProtection="1">
      <alignment horizontal="center" vertical="center"/>
      <protection locked="0"/>
    </xf>
    <xf numFmtId="49" fontId="69" fillId="57" borderId="70" xfId="2" applyNumberFormat="1" applyFont="1" applyFill="1" applyBorder="1" applyAlignment="1">
      <alignment horizontal="center" vertical="center"/>
    </xf>
    <xf numFmtId="1" fontId="69" fillId="57" borderId="68" xfId="2" applyNumberFormat="1" applyFont="1" applyFill="1" applyBorder="1" applyAlignment="1">
      <alignment horizontal="center" vertical="center" wrapText="1"/>
    </xf>
    <xf numFmtId="1" fontId="69" fillId="57" borderId="71" xfId="2" applyNumberFormat="1" applyFont="1" applyFill="1" applyBorder="1" applyAlignment="1">
      <alignment horizontal="center" vertical="center" wrapText="1"/>
    </xf>
    <xf numFmtId="1" fontId="69" fillId="57" borderId="72" xfId="2" applyNumberFormat="1" applyFont="1" applyFill="1" applyBorder="1" applyAlignment="1">
      <alignment horizontal="center" vertical="center" wrapText="1"/>
    </xf>
    <xf numFmtId="1" fontId="69" fillId="57" borderId="73" xfId="2" applyNumberFormat="1" applyFont="1" applyFill="1" applyBorder="1" applyAlignment="1">
      <alignment horizontal="center" vertical="center"/>
    </xf>
    <xf numFmtId="1" fontId="69" fillId="57" borderId="71" xfId="2" applyNumberFormat="1" applyFont="1" applyFill="1" applyBorder="1" applyAlignment="1">
      <alignment horizontal="center" vertical="center"/>
    </xf>
    <xf numFmtId="1" fontId="69" fillId="57" borderId="72" xfId="2" applyNumberFormat="1" applyFont="1" applyFill="1" applyBorder="1" applyAlignment="1">
      <alignment horizontal="center" vertical="center"/>
    </xf>
    <xf numFmtId="165" fontId="74" fillId="58" borderId="74" xfId="2" applyNumberFormat="1" applyFont="1" applyFill="1" applyBorder="1" applyAlignment="1">
      <alignment vertical="center" shrinkToFit="1"/>
    </xf>
    <xf numFmtId="165" fontId="74" fillId="58" borderId="77" xfId="2" applyNumberFormat="1" applyFont="1" applyFill="1" applyBorder="1" applyAlignment="1">
      <alignment vertical="center" shrinkToFit="1"/>
    </xf>
    <xf numFmtId="165" fontId="74" fillId="58" borderId="78" xfId="2" applyNumberFormat="1" applyFont="1" applyFill="1" applyBorder="1" applyAlignment="1">
      <alignment vertical="center" shrinkToFit="1"/>
    </xf>
    <xf numFmtId="165" fontId="74" fillId="0" borderId="79" xfId="2" applyNumberFormat="1" applyFont="1" applyFill="1" applyBorder="1" applyAlignment="1">
      <alignment vertical="center" shrinkToFit="1"/>
    </xf>
    <xf numFmtId="165" fontId="74" fillId="0" borderId="77" xfId="2" applyNumberFormat="1" applyFont="1" applyFill="1" applyBorder="1" applyAlignment="1">
      <alignment vertical="center" shrinkToFit="1"/>
    </xf>
    <xf numFmtId="165" fontId="74" fillId="0" borderId="78" xfId="2" applyNumberFormat="1" applyFont="1" applyFill="1" applyBorder="1" applyAlignment="1">
      <alignment vertical="center" shrinkToFit="1"/>
    </xf>
    <xf numFmtId="165" fontId="76" fillId="58" borderId="74" xfId="2" applyNumberFormat="1" applyFont="1" applyFill="1" applyBorder="1" applyAlignment="1">
      <alignment vertical="center" shrinkToFit="1"/>
    </xf>
    <xf numFmtId="165" fontId="76" fillId="58" borderId="77" xfId="2" applyNumberFormat="1" applyFont="1" applyFill="1" applyBorder="1" applyAlignment="1">
      <alignment vertical="center" shrinkToFit="1"/>
    </xf>
    <xf numFmtId="165" fontId="76" fillId="58" borderId="78" xfId="2" applyNumberFormat="1" applyFont="1" applyFill="1" applyBorder="1" applyAlignment="1">
      <alignment vertical="center" shrinkToFit="1"/>
    </xf>
    <xf numFmtId="165" fontId="76" fillId="0" borderId="79" xfId="2" applyNumberFormat="1" applyFont="1" applyFill="1" applyBorder="1" applyAlignment="1">
      <alignment vertical="center" shrinkToFit="1"/>
    </xf>
    <xf numFmtId="165" fontId="76" fillId="0" borderId="77" xfId="2" applyNumberFormat="1" applyFont="1" applyFill="1" applyBorder="1" applyAlignment="1">
      <alignment vertical="center" shrinkToFit="1"/>
    </xf>
    <xf numFmtId="165" fontId="76" fillId="0" borderId="78" xfId="2" applyNumberFormat="1" applyFont="1" applyFill="1" applyBorder="1" applyAlignment="1">
      <alignment vertical="center" shrinkToFit="1"/>
    </xf>
    <xf numFmtId="165" fontId="74" fillId="58" borderId="74" xfId="2" applyNumberFormat="1" applyFont="1" applyFill="1" applyBorder="1" applyAlignment="1">
      <alignment horizontal="center" vertical="center" shrinkToFit="1"/>
    </xf>
    <xf numFmtId="165" fontId="74" fillId="58" borderId="77" xfId="2" applyNumberFormat="1" applyFont="1" applyFill="1" applyBorder="1" applyAlignment="1">
      <alignment horizontal="center" vertical="center" shrinkToFit="1"/>
    </xf>
    <xf numFmtId="165" fontId="74" fillId="58" borderId="78" xfId="2" applyNumberFormat="1" applyFont="1" applyFill="1" applyBorder="1" applyAlignment="1">
      <alignment horizontal="center" vertical="center" shrinkToFit="1"/>
    </xf>
    <xf numFmtId="165" fontId="74" fillId="0" borderId="79" xfId="2" applyNumberFormat="1" applyFont="1" applyFill="1" applyBorder="1" applyAlignment="1">
      <alignment horizontal="center" vertical="center" shrinkToFit="1"/>
    </xf>
    <xf numFmtId="165" fontId="74" fillId="0" borderId="77" xfId="2" applyNumberFormat="1" applyFont="1" applyFill="1" applyBorder="1" applyAlignment="1">
      <alignment horizontal="center" vertical="center" shrinkToFit="1"/>
    </xf>
    <xf numFmtId="165" fontId="74" fillId="0" borderId="78" xfId="2" applyNumberFormat="1" applyFont="1" applyFill="1" applyBorder="1" applyAlignment="1">
      <alignment horizontal="center" vertical="center" shrinkToFit="1"/>
    </xf>
    <xf numFmtId="166" fontId="76" fillId="58" borderId="74" xfId="2" applyNumberFormat="1" applyFont="1" applyFill="1" applyBorder="1" applyAlignment="1">
      <alignment vertical="center" shrinkToFit="1"/>
    </xf>
    <xf numFmtId="166" fontId="76" fillId="58" borderId="77" xfId="2" applyNumberFormat="1" applyFont="1" applyFill="1" applyBorder="1" applyAlignment="1">
      <alignment vertical="center" shrinkToFit="1"/>
    </xf>
    <xf numFmtId="166" fontId="76" fillId="58" borderId="78" xfId="2" applyNumberFormat="1" applyFont="1" applyFill="1" applyBorder="1" applyAlignment="1">
      <alignment vertical="center" shrinkToFit="1"/>
    </xf>
    <xf numFmtId="166" fontId="76" fillId="0" borderId="79" xfId="2" applyNumberFormat="1" applyFont="1" applyFill="1" applyBorder="1" applyAlignment="1">
      <alignment vertical="center" shrinkToFit="1"/>
    </xf>
    <xf numFmtId="166" fontId="76" fillId="0" borderId="77" xfId="2" applyNumberFormat="1" applyFont="1" applyFill="1" applyBorder="1" applyAlignment="1">
      <alignment vertical="center" shrinkToFit="1"/>
    </xf>
    <xf numFmtId="166" fontId="76" fillId="0" borderId="78" xfId="2" applyNumberFormat="1" applyFont="1" applyFill="1" applyBorder="1" applyAlignment="1">
      <alignment vertical="center" shrinkToFit="1"/>
    </xf>
    <xf numFmtId="0" fontId="76" fillId="0" borderId="79" xfId="2" applyNumberFormat="1" applyFont="1" applyFill="1" applyBorder="1" applyAlignment="1">
      <alignment horizontal="center" vertical="center" shrinkToFit="1"/>
    </xf>
    <xf numFmtId="0" fontId="76" fillId="0" borderId="77" xfId="2" applyNumberFormat="1" applyFont="1" applyFill="1" applyBorder="1" applyAlignment="1">
      <alignment horizontal="center" vertical="center" shrinkToFit="1"/>
    </xf>
    <xf numFmtId="0" fontId="76" fillId="0" borderId="78" xfId="2" applyNumberFormat="1" applyFont="1" applyFill="1" applyBorder="1" applyAlignment="1">
      <alignment horizontal="center" vertical="center" shrinkToFit="1"/>
    </xf>
    <xf numFmtId="165" fontId="76" fillId="58" borderId="80" xfId="2" applyNumberFormat="1" applyFont="1" applyFill="1" applyBorder="1" applyAlignment="1">
      <alignment vertical="center" shrinkToFit="1"/>
    </xf>
    <xf numFmtId="165" fontId="76" fillId="58" borderId="82" xfId="2" applyNumberFormat="1" applyFont="1" applyFill="1" applyBorder="1" applyAlignment="1">
      <alignment vertical="center" shrinkToFit="1"/>
    </xf>
    <xf numFmtId="165" fontId="76" fillId="58" borderId="83" xfId="2" applyNumberFormat="1" applyFont="1" applyFill="1" applyBorder="1" applyAlignment="1">
      <alignment vertical="center" shrinkToFit="1"/>
    </xf>
    <xf numFmtId="165" fontId="76" fillId="0" borderId="84" xfId="2" applyNumberFormat="1" applyFont="1" applyFill="1" applyBorder="1" applyAlignment="1">
      <alignment vertical="center" shrinkToFit="1"/>
    </xf>
    <xf numFmtId="165" fontId="76" fillId="0" borderId="82" xfId="2" applyNumberFormat="1" applyFont="1" applyFill="1" applyBorder="1" applyAlignment="1">
      <alignment vertical="center" shrinkToFit="1"/>
    </xf>
    <xf numFmtId="165" fontId="76" fillId="0" borderId="83" xfId="2" applyNumberFormat="1" applyFont="1" applyFill="1" applyBorder="1" applyAlignment="1">
      <alignment vertical="center" shrinkToFit="1"/>
    </xf>
    <xf numFmtId="0" fontId="83" fillId="0" borderId="85" xfId="3" applyFont="1" applyBorder="1" applyAlignment="1">
      <alignment vertical="center"/>
    </xf>
    <xf numFmtId="0" fontId="84" fillId="0" borderId="69" xfId="3" applyFont="1" applyBorder="1" applyAlignment="1">
      <alignment vertical="center"/>
    </xf>
    <xf numFmtId="0" fontId="83" fillId="0" borderId="86" xfId="3" applyFont="1" applyBorder="1" applyAlignment="1">
      <alignment vertical="center"/>
    </xf>
    <xf numFmtId="0" fontId="84" fillId="0" borderId="75" xfId="3" applyFont="1" applyBorder="1" applyAlignment="1">
      <alignment vertical="center"/>
    </xf>
    <xf numFmtId="0" fontId="86" fillId="0" borderId="86" xfId="3" applyFont="1" applyBorder="1" applyAlignment="1">
      <alignment vertical="center"/>
    </xf>
    <xf numFmtId="0" fontId="12" fillId="0" borderId="75" xfId="3" applyFont="1" applyBorder="1" applyAlignment="1">
      <alignment vertical="center"/>
    </xf>
    <xf numFmtId="0" fontId="83" fillId="0" borderId="87" xfId="3" applyFont="1" applyBorder="1" applyAlignment="1">
      <alignment vertical="center"/>
    </xf>
    <xf numFmtId="0" fontId="84" fillId="0" borderId="81" xfId="3" applyFont="1" applyBorder="1" applyAlignment="1">
      <alignment vertical="center"/>
    </xf>
    <xf numFmtId="167" fontId="70" fillId="62" borderId="0" xfId="4" applyNumberFormat="1" applyFont="1" applyFill="1" applyAlignment="1">
      <alignment vertical="center"/>
    </xf>
    <xf numFmtId="167" fontId="70" fillId="0" borderId="0" xfId="4" applyNumberFormat="1" applyFont="1" applyFill="1" applyAlignment="1">
      <alignment vertical="center"/>
    </xf>
    <xf numFmtId="167" fontId="70" fillId="60" borderId="0" xfId="4" applyNumberFormat="1" applyFont="1" applyFill="1" applyAlignment="1">
      <alignment vertical="center"/>
    </xf>
    <xf numFmtId="167" fontId="70" fillId="33" borderId="0" xfId="4" applyNumberFormat="1" applyFont="1" applyFill="1" applyAlignment="1">
      <alignment vertical="center"/>
    </xf>
    <xf numFmtId="167" fontId="64" fillId="33" borderId="0" xfId="5" applyNumberFormat="1" applyFont="1" applyFill="1" applyAlignment="1">
      <alignment vertical="center"/>
    </xf>
    <xf numFmtId="167" fontId="64" fillId="0" borderId="0" xfId="5" applyNumberFormat="1" applyFont="1" applyFill="1" applyAlignment="1">
      <alignment vertical="center"/>
    </xf>
    <xf numFmtId="167" fontId="64" fillId="60" borderId="0" xfId="5" applyNumberFormat="1" applyFont="1" applyFill="1" applyAlignment="1">
      <alignment vertical="center"/>
    </xf>
    <xf numFmtId="167" fontId="64" fillId="62" borderId="0" xfId="5" applyNumberFormat="1" applyFont="1" applyFill="1" applyAlignment="1">
      <alignment vertical="center"/>
    </xf>
    <xf numFmtId="167" fontId="74" fillId="0" borderId="0" xfId="5" applyNumberFormat="1" applyFont="1" applyFill="1" applyAlignment="1">
      <alignment horizontal="center" vertical="center" wrapText="1"/>
    </xf>
    <xf numFmtId="167" fontId="74" fillId="0" borderId="73" xfId="4" applyNumberFormat="1" applyFont="1" applyFill="1" applyBorder="1" applyAlignment="1">
      <alignment horizontal="right" vertical="center"/>
    </xf>
    <xf numFmtId="167" fontId="74" fillId="0" borderId="71" xfId="4" applyNumberFormat="1" applyFont="1" applyFill="1" applyBorder="1" applyAlignment="1">
      <alignment horizontal="right" vertical="center"/>
    </xf>
    <xf numFmtId="167" fontId="74" fillId="0" borderId="72" xfId="4" applyNumberFormat="1" applyFont="1" applyFill="1" applyBorder="1" applyAlignment="1">
      <alignment horizontal="right" vertical="center"/>
    </xf>
    <xf numFmtId="167" fontId="76" fillId="0" borderId="79" xfId="4" applyNumberFormat="1" applyFont="1" applyFill="1" applyBorder="1" applyAlignment="1">
      <alignment horizontal="right" vertical="center"/>
    </xf>
    <xf numFmtId="167" fontId="76" fillId="0" borderId="77" xfId="4" applyNumberFormat="1" applyFont="1" applyFill="1" applyBorder="1" applyAlignment="1">
      <alignment horizontal="right" vertical="center"/>
    </xf>
    <xf numFmtId="167" fontId="76" fillId="0" borderId="78" xfId="4" applyNumberFormat="1" applyFont="1" applyFill="1" applyBorder="1" applyAlignment="1">
      <alignment horizontal="right" vertical="center"/>
    </xf>
    <xf numFmtId="167" fontId="76" fillId="0" borderId="93" xfId="4" applyNumberFormat="1" applyFont="1" applyFill="1" applyBorder="1" applyAlignment="1">
      <alignment horizontal="right" vertical="center"/>
    </xf>
    <xf numFmtId="167" fontId="76" fillId="0" borderId="91" xfId="4" applyNumberFormat="1" applyFont="1" applyFill="1" applyBorder="1" applyAlignment="1">
      <alignment horizontal="right" vertical="center"/>
    </xf>
    <xf numFmtId="167" fontId="76" fillId="0" borderId="92" xfId="4" applyNumberFormat="1" applyFont="1" applyFill="1" applyBorder="1" applyAlignment="1">
      <alignment horizontal="right" vertical="center"/>
    </xf>
    <xf numFmtId="167" fontId="74" fillId="0" borderId="79" xfId="4" applyNumberFormat="1" applyFont="1" applyFill="1" applyBorder="1" applyAlignment="1">
      <alignment horizontal="right" vertical="center"/>
    </xf>
    <xf numFmtId="167" fontId="74" fillId="0" borderId="77" xfId="4" applyNumberFormat="1" applyFont="1" applyFill="1" applyBorder="1" applyAlignment="1">
      <alignment horizontal="right" vertical="center"/>
    </xf>
    <xf numFmtId="167" fontId="74" fillId="0" borderId="78" xfId="4" applyNumberFormat="1" applyFont="1" applyFill="1" applyBorder="1" applyAlignment="1">
      <alignment horizontal="right" vertical="center"/>
    </xf>
    <xf numFmtId="167" fontId="76" fillId="0" borderId="84" xfId="4" applyNumberFormat="1" applyFont="1" applyFill="1" applyBorder="1" applyAlignment="1">
      <alignment horizontal="right" vertical="center"/>
    </xf>
    <xf numFmtId="167" fontId="76" fillId="0" borderId="82" xfId="4" applyNumberFormat="1" applyFont="1" applyFill="1" applyBorder="1" applyAlignment="1">
      <alignment horizontal="right" vertical="center"/>
    </xf>
    <xf numFmtId="167" fontId="76" fillId="0" borderId="83" xfId="4" applyNumberFormat="1" applyFont="1" applyFill="1" applyBorder="1" applyAlignment="1">
      <alignment horizontal="right" vertical="center"/>
    </xf>
    <xf numFmtId="0" fontId="48" fillId="57" borderId="30" xfId="104" applyFont="1" applyFill="1" applyBorder="1" applyAlignment="1">
      <alignment horizontal="center" vertical="center" wrapText="1"/>
    </xf>
    <xf numFmtId="0" fontId="48" fillId="57" borderId="31" xfId="104" applyFont="1" applyFill="1" applyBorder="1" applyAlignment="1">
      <alignment horizontal="center" vertical="center" wrapText="1"/>
    </xf>
    <xf numFmtId="0" fontId="48" fillId="57" borderId="29" xfId="104" applyFont="1" applyFill="1" applyBorder="1" applyAlignment="1">
      <alignment horizontal="center" vertical="center" wrapText="1"/>
    </xf>
    <xf numFmtId="164" fontId="58" fillId="56" borderId="32" xfId="105" applyNumberFormat="1" applyFont="1" applyFill="1" applyBorder="1" applyAlignment="1">
      <alignment vertical="center"/>
    </xf>
    <xf numFmtId="0" fontId="48" fillId="0" borderId="28" xfId="104" applyFont="1" applyFill="1" applyBorder="1" applyAlignment="1">
      <alignment horizontal="center" vertical="top"/>
    </xf>
    <xf numFmtId="0" fontId="48" fillId="0" borderId="21" xfId="104" applyFont="1" applyFill="1" applyBorder="1" applyAlignment="1">
      <alignment horizontal="center" vertical="top"/>
    </xf>
    <xf numFmtId="0" fontId="54" fillId="56" borderId="45" xfId="104" applyFont="1" applyFill="1" applyBorder="1" applyAlignment="1">
      <alignment vertical="top"/>
    </xf>
    <xf numFmtId="164" fontId="61" fillId="56" borderId="49" xfId="105" applyNumberFormat="1" applyFont="1" applyFill="1" applyBorder="1" applyAlignment="1">
      <alignment vertical="center"/>
    </xf>
    <xf numFmtId="164" fontId="61" fillId="56" borderId="50" xfId="105" applyNumberFormat="1" applyFont="1" applyFill="1" applyBorder="1" applyAlignment="1">
      <alignment vertical="center"/>
    </xf>
    <xf numFmtId="0" fontId="61" fillId="56" borderId="31" xfId="104" applyFont="1" applyFill="1" applyBorder="1" applyAlignment="1">
      <alignment horizontal="center" vertical="center"/>
    </xf>
    <xf numFmtId="0" fontId="12" fillId="56" borderId="22" xfId="104" applyFont="1" applyFill="1" applyBorder="1" applyAlignment="1">
      <alignment horizontal="center" vertical="center"/>
    </xf>
    <xf numFmtId="164" fontId="57" fillId="56" borderId="38" xfId="105" applyNumberFormat="1" applyFont="1" applyFill="1" applyBorder="1" applyAlignment="1">
      <alignment horizontal="center" vertical="center"/>
    </xf>
    <xf numFmtId="0" fontId="8" fillId="56" borderId="0" xfId="104" applyFont="1" applyFill="1" applyAlignment="1">
      <alignment vertical="center"/>
    </xf>
    <xf numFmtId="0" fontId="1" fillId="0" borderId="0" xfId="113" applyAlignment="1">
      <alignment horizontal="center" vertical="center"/>
    </xf>
    <xf numFmtId="0" fontId="63" fillId="0" borderId="0" xfId="113" applyFont="1" applyProtection="1">
      <protection locked="0"/>
    </xf>
    <xf numFmtId="0" fontId="63" fillId="0" borderId="0" xfId="113" applyFont="1" applyAlignment="1" applyProtection="1">
      <protection locked="0"/>
    </xf>
    <xf numFmtId="0" fontId="1" fillId="0" borderId="0" xfId="113" applyProtection="1">
      <protection locked="0"/>
    </xf>
    <xf numFmtId="0" fontId="64" fillId="0" borderId="0" xfId="113" applyFont="1" applyProtection="1">
      <protection locked="0"/>
    </xf>
    <xf numFmtId="0" fontId="65" fillId="0" borderId="0" xfId="113" applyFont="1" applyAlignment="1" applyProtection="1">
      <alignment vertical="center"/>
      <protection locked="0"/>
    </xf>
    <xf numFmtId="0" fontId="1" fillId="0" borderId="0" xfId="113"/>
    <xf numFmtId="0" fontId="66" fillId="0" borderId="0" xfId="113" applyFont="1" applyProtection="1">
      <protection locked="0"/>
    </xf>
    <xf numFmtId="0" fontId="66" fillId="0" borderId="0" xfId="113" applyFont="1" applyAlignment="1" applyProtection="1">
      <protection locked="0"/>
    </xf>
    <xf numFmtId="0" fontId="67" fillId="0" borderId="0" xfId="113" applyFont="1" applyProtection="1">
      <protection locked="0"/>
    </xf>
    <xf numFmtId="0" fontId="1" fillId="0" borderId="0" xfId="113" applyAlignment="1" applyProtection="1">
      <protection locked="0"/>
    </xf>
    <xf numFmtId="0" fontId="68" fillId="0" borderId="0" xfId="113" applyFont="1" applyAlignment="1" applyProtection="1">
      <alignment horizontal="right"/>
      <protection locked="0"/>
    </xf>
    <xf numFmtId="0" fontId="64" fillId="0" borderId="0" xfId="113" applyFont="1" applyAlignment="1" applyProtection="1">
      <protection locked="0"/>
    </xf>
    <xf numFmtId="49" fontId="69" fillId="0" borderId="0" xfId="113" applyNumberFormat="1" applyFont="1" applyAlignment="1" applyProtection="1">
      <alignment vertical="center"/>
      <protection locked="0"/>
    </xf>
    <xf numFmtId="0" fontId="64" fillId="0" borderId="0" xfId="113" applyFont="1"/>
    <xf numFmtId="0" fontId="68" fillId="0" borderId="0" xfId="113" applyFont="1" applyAlignment="1" applyProtection="1">
      <alignment horizontal="right" vertical="center"/>
      <protection locked="0"/>
    </xf>
    <xf numFmtId="0" fontId="64" fillId="0" borderId="0" xfId="113" applyFont="1" applyAlignment="1"/>
    <xf numFmtId="49" fontId="69" fillId="63" borderId="0" xfId="113" applyNumberFormat="1" applyFont="1" applyFill="1" applyAlignment="1" applyProtection="1">
      <alignment vertical="center"/>
      <protection locked="0"/>
    </xf>
    <xf numFmtId="0" fontId="64" fillId="0" borderId="0" xfId="113" applyFont="1" applyBorder="1" applyProtection="1">
      <protection locked="0"/>
    </xf>
    <xf numFmtId="0" fontId="65" fillId="0" borderId="0" xfId="113" applyFont="1" applyProtection="1">
      <protection locked="0"/>
    </xf>
    <xf numFmtId="0" fontId="70" fillId="0" borderId="0" xfId="113" applyFont="1" applyAlignment="1" applyProtection="1">
      <alignment horizontal="left"/>
      <protection locked="0"/>
    </xf>
    <xf numFmtId="0" fontId="94" fillId="0" borderId="0" xfId="113" applyFont="1" applyProtection="1">
      <protection locked="0"/>
    </xf>
    <xf numFmtId="0" fontId="95" fillId="0" borderId="0" xfId="113" applyFont="1" applyBorder="1" applyAlignment="1" applyProtection="1">
      <alignment horizontal="center" vertical="center"/>
      <protection locked="0"/>
    </xf>
    <xf numFmtId="0" fontId="69" fillId="0" borderId="67" xfId="113" applyFont="1" applyBorder="1" applyAlignment="1" applyProtection="1">
      <alignment horizontal="center" vertical="center" wrapText="1"/>
      <protection locked="0"/>
    </xf>
    <xf numFmtId="0" fontId="71" fillId="0" borderId="0" xfId="113" applyFont="1" applyBorder="1" applyAlignment="1" applyProtection="1">
      <alignment horizontal="left" vertical="center"/>
      <protection locked="0"/>
    </xf>
    <xf numFmtId="0" fontId="71" fillId="0" borderId="67" xfId="113" applyFont="1" applyBorder="1" applyAlignment="1" applyProtection="1">
      <alignment vertical="center" wrapText="1"/>
      <protection locked="0"/>
    </xf>
    <xf numFmtId="0" fontId="72" fillId="0" borderId="0" xfId="113" applyFont="1" applyAlignment="1">
      <alignment horizontal="left" vertical="center"/>
    </xf>
    <xf numFmtId="0" fontId="1" fillId="0" borderId="0" xfId="113" applyFont="1"/>
    <xf numFmtId="0" fontId="73" fillId="0" borderId="74" xfId="113" applyFont="1" applyBorder="1" applyAlignment="1">
      <alignment horizontal="left" vertical="center"/>
    </xf>
    <xf numFmtId="0" fontId="73" fillId="0" borderId="75" xfId="113" applyFont="1" applyBorder="1" applyAlignment="1" applyProtection="1">
      <alignment horizontal="left" vertical="center"/>
      <protection locked="0"/>
    </xf>
    <xf numFmtId="0" fontId="73" fillId="0" borderId="76" xfId="113" applyFont="1" applyBorder="1" applyAlignment="1">
      <alignment vertical="center" wrapText="1"/>
    </xf>
    <xf numFmtId="0" fontId="10" fillId="0" borderId="0" xfId="113" applyFont="1"/>
    <xf numFmtId="0" fontId="75" fillId="0" borderId="74" xfId="113" applyFont="1" applyBorder="1" applyAlignment="1">
      <alignment horizontal="left" vertical="center"/>
    </xf>
    <xf numFmtId="0" fontId="75" fillId="33" borderId="75" xfId="113" applyFont="1" applyFill="1" applyBorder="1" applyAlignment="1" applyProtection="1">
      <alignment horizontal="left" vertical="center"/>
      <protection locked="0"/>
    </xf>
    <xf numFmtId="0" fontId="75" fillId="0" borderId="75" xfId="113" applyFont="1" applyBorder="1" applyAlignment="1">
      <alignment horizontal="left" vertical="center" wrapText="1" indent="1"/>
    </xf>
    <xf numFmtId="0" fontId="75" fillId="0" borderId="75" xfId="113" applyFont="1" applyBorder="1" applyAlignment="1" applyProtection="1">
      <alignment horizontal="left" vertical="center"/>
      <protection locked="0"/>
    </xf>
    <xf numFmtId="0" fontId="75" fillId="0" borderId="75" xfId="113" applyFont="1" applyBorder="1" applyAlignment="1">
      <alignment horizontal="left" vertical="center" wrapText="1" indent="2"/>
    </xf>
    <xf numFmtId="0" fontId="75" fillId="0" borderId="75" xfId="113" applyFont="1" applyBorder="1" applyAlignment="1">
      <alignment horizontal="left" vertical="center" wrapText="1" indent="3"/>
    </xf>
    <xf numFmtId="0" fontId="75" fillId="0" borderId="75" xfId="113" applyFont="1" applyBorder="1" applyAlignment="1">
      <alignment horizontal="left" vertical="center" wrapText="1" indent="4"/>
    </xf>
    <xf numFmtId="0" fontId="75" fillId="0" borderId="74" xfId="113" applyFont="1" applyBorder="1" applyAlignment="1" applyProtection="1">
      <alignment horizontal="left" vertical="center"/>
      <protection locked="0"/>
    </xf>
    <xf numFmtId="0" fontId="75" fillId="0" borderId="76" xfId="113" applyFont="1" applyBorder="1" applyAlignment="1" applyProtection="1">
      <alignment horizontal="left" vertical="center" wrapText="1" indent="1"/>
      <protection locked="0"/>
    </xf>
    <xf numFmtId="0" fontId="75" fillId="0" borderId="75" xfId="113" quotePrefix="1" applyFont="1" applyBorder="1" applyAlignment="1">
      <alignment horizontal="left" vertical="center" wrapText="1" indent="2"/>
    </xf>
    <xf numFmtId="0" fontId="75" fillId="0" borderId="75" xfId="113" quotePrefix="1" applyFont="1" applyBorder="1" applyAlignment="1">
      <alignment horizontal="left" vertical="center" wrapText="1" indent="3"/>
    </xf>
    <xf numFmtId="0" fontId="73" fillId="0" borderId="76" xfId="113" applyFont="1" applyBorder="1" applyAlignment="1">
      <alignment horizontal="left" vertical="center" wrapText="1"/>
    </xf>
    <xf numFmtId="0" fontId="75" fillId="0" borderId="80" xfId="113" applyFont="1" applyBorder="1" applyAlignment="1">
      <alignment horizontal="left" vertical="center"/>
    </xf>
    <xf numFmtId="0" fontId="75" fillId="0" borderId="81" xfId="113" applyFont="1" applyBorder="1" applyAlignment="1" applyProtection="1">
      <alignment horizontal="left" vertical="center"/>
      <protection locked="0"/>
    </xf>
    <xf numFmtId="0" fontId="75" fillId="0" borderId="81" xfId="113" applyFont="1" applyBorder="1" applyAlignment="1">
      <alignment horizontal="left" vertical="center" wrapText="1" indent="1"/>
    </xf>
    <xf numFmtId="0" fontId="64" fillId="0" borderId="0" xfId="113" applyFont="1" applyBorder="1" applyAlignment="1" applyProtection="1">
      <alignment vertical="center"/>
      <protection locked="0"/>
    </xf>
    <xf numFmtId="0" fontId="77" fillId="0" borderId="0" xfId="113" applyFont="1" applyBorder="1" applyAlignment="1" applyProtection="1">
      <alignment vertical="center"/>
      <protection locked="0"/>
    </xf>
    <xf numFmtId="0" fontId="70" fillId="0" borderId="0" xfId="113" applyFont="1" applyBorder="1" applyAlignment="1" applyProtection="1">
      <alignment vertical="center"/>
      <protection locked="0"/>
    </xf>
    <xf numFmtId="0" fontId="78" fillId="0" borderId="0" xfId="113" applyFont="1" applyBorder="1" applyAlignment="1" applyProtection="1">
      <alignment vertical="center"/>
      <protection locked="0"/>
    </xf>
    <xf numFmtId="0" fontId="79" fillId="0" borderId="0" xfId="113" applyFont="1" applyBorder="1" applyAlignment="1" applyProtection="1">
      <alignment vertical="center" wrapText="1"/>
      <protection locked="0"/>
    </xf>
    <xf numFmtId="0" fontId="79" fillId="0" borderId="0" xfId="113" applyFont="1" applyBorder="1" applyAlignment="1" applyProtection="1">
      <alignment vertical="center"/>
      <protection locked="0"/>
    </xf>
    <xf numFmtId="0" fontId="80" fillId="0" borderId="0" xfId="113" applyFont="1" applyBorder="1" applyAlignment="1" applyProtection="1">
      <alignment horizontal="left" vertical="center"/>
      <protection locked="0"/>
    </xf>
    <xf numFmtId="0" fontId="79" fillId="0" borderId="0" xfId="113" applyFont="1" applyBorder="1" applyAlignment="1" applyProtection="1">
      <alignment horizontal="left" vertical="center" wrapText="1"/>
      <protection locked="0"/>
    </xf>
    <xf numFmtId="0" fontId="81" fillId="0" borderId="0" xfId="113" applyFont="1" applyFill="1" applyBorder="1" applyAlignment="1" applyProtection="1">
      <alignment horizontal="left" vertical="center"/>
      <protection locked="0"/>
    </xf>
    <xf numFmtId="0" fontId="81" fillId="59" borderId="0" xfId="113" applyFont="1" applyFill="1" applyBorder="1" applyAlignment="1" applyProtection="1">
      <alignment horizontal="left" vertical="center" wrapText="1"/>
      <protection locked="0"/>
    </xf>
    <xf numFmtId="0" fontId="81" fillId="60" borderId="0" xfId="113" applyFont="1" applyFill="1" applyBorder="1" applyAlignment="1" applyProtection="1">
      <alignment horizontal="left" vertical="center" wrapText="1"/>
      <protection locked="0"/>
    </xf>
    <xf numFmtId="0" fontId="81" fillId="33" borderId="0" xfId="113" applyFont="1" applyFill="1" applyBorder="1" applyAlignment="1" applyProtection="1">
      <alignment horizontal="left" vertical="center" wrapText="1"/>
      <protection locked="0"/>
    </xf>
    <xf numFmtId="0" fontId="81" fillId="0" borderId="67" xfId="113" applyFont="1" applyFill="1" applyBorder="1" applyAlignment="1" applyProtection="1">
      <alignment vertical="center"/>
      <protection locked="0"/>
    </xf>
    <xf numFmtId="0" fontId="82" fillId="0" borderId="67" xfId="113" applyFont="1" applyFill="1" applyBorder="1" applyAlignment="1" applyProtection="1">
      <alignment vertical="center"/>
      <protection locked="0"/>
    </xf>
    <xf numFmtId="0" fontId="81" fillId="59" borderId="70" xfId="113" applyFont="1" applyFill="1" applyBorder="1" applyAlignment="1">
      <alignment horizontal="left" vertical="center" wrapText="1"/>
    </xf>
    <xf numFmtId="0" fontId="81" fillId="58" borderId="68" xfId="113" applyFont="1" applyFill="1" applyBorder="1" applyAlignment="1">
      <alignment horizontal="center" vertical="center" wrapText="1"/>
    </xf>
    <xf numFmtId="0" fontId="81" fillId="58" borderId="71" xfId="113" applyFont="1" applyFill="1" applyBorder="1" applyAlignment="1">
      <alignment horizontal="center" vertical="center" wrapText="1"/>
    </xf>
    <xf numFmtId="0" fontId="81" fillId="58" borderId="72" xfId="113" applyFont="1" applyFill="1" applyBorder="1" applyAlignment="1">
      <alignment horizontal="center" vertical="center" wrapText="1"/>
    </xf>
    <xf numFmtId="0" fontId="64" fillId="0" borderId="73" xfId="113" applyFont="1" applyBorder="1" applyAlignment="1">
      <alignment horizontal="center" vertical="center"/>
    </xf>
    <xf numFmtId="0" fontId="64" fillId="0" borderId="71" xfId="113" applyFont="1" applyBorder="1" applyAlignment="1">
      <alignment horizontal="center" vertical="center"/>
    </xf>
    <xf numFmtId="0" fontId="64" fillId="0" borderId="72" xfId="113" applyFont="1" applyBorder="1" applyAlignment="1">
      <alignment horizontal="center" vertical="center"/>
    </xf>
    <xf numFmtId="0" fontId="81" fillId="59" borderId="76" xfId="113" applyFont="1" applyFill="1" applyBorder="1" applyAlignment="1">
      <alignment horizontal="left" vertical="center" wrapText="1"/>
    </xf>
    <xf numFmtId="0" fontId="81" fillId="58" borderId="74" xfId="113" applyFont="1" applyFill="1" applyBorder="1" applyAlignment="1">
      <alignment horizontal="center" vertical="center" wrapText="1"/>
    </xf>
    <xf numFmtId="0" fontId="81" fillId="58" borderId="77" xfId="113" applyFont="1" applyFill="1" applyBorder="1" applyAlignment="1">
      <alignment horizontal="center" vertical="center" wrapText="1"/>
    </xf>
    <xf numFmtId="0" fontId="81" fillId="58" borderId="78" xfId="113" applyFont="1" applyFill="1" applyBorder="1" applyAlignment="1">
      <alignment horizontal="center" vertical="center" wrapText="1"/>
    </xf>
    <xf numFmtId="0" fontId="64" fillId="0" borderId="79" xfId="113" applyFont="1" applyBorder="1" applyAlignment="1">
      <alignment horizontal="center" vertical="center"/>
    </xf>
    <xf numFmtId="0" fontId="64" fillId="0" borderId="77" xfId="113" applyFont="1" applyBorder="1" applyAlignment="1">
      <alignment horizontal="center" vertical="center"/>
    </xf>
    <xf numFmtId="0" fontId="64" fillId="0" borderId="78" xfId="113" applyFont="1" applyBorder="1" applyAlignment="1">
      <alignment horizontal="center" vertical="center"/>
    </xf>
    <xf numFmtId="0" fontId="81" fillId="60" borderId="76" xfId="113" applyFont="1" applyFill="1" applyBorder="1" applyAlignment="1">
      <alignment horizontal="left" vertical="center" wrapText="1"/>
    </xf>
    <xf numFmtId="165" fontId="85" fillId="0" borderId="79" xfId="113" applyNumberFormat="1" applyFont="1" applyFill="1" applyBorder="1" applyAlignment="1">
      <alignment horizontal="center" vertical="center"/>
    </xf>
    <xf numFmtId="165" fontId="85" fillId="0" borderId="77" xfId="113" applyNumberFormat="1" applyFont="1" applyFill="1" applyBorder="1" applyAlignment="1">
      <alignment horizontal="center" vertical="center"/>
    </xf>
    <xf numFmtId="165" fontId="85" fillId="0" borderId="78" xfId="113" applyNumberFormat="1" applyFont="1" applyFill="1" applyBorder="1" applyAlignment="1">
      <alignment horizontal="center" vertical="center"/>
    </xf>
    <xf numFmtId="0" fontId="81" fillId="58" borderId="74" xfId="113" applyFont="1" applyFill="1" applyBorder="1" applyAlignment="1">
      <alignment horizontal="center" vertical="center"/>
    </xf>
    <xf numFmtId="0" fontId="81" fillId="33" borderId="76" xfId="113" applyFont="1" applyFill="1" applyBorder="1" applyAlignment="1">
      <alignment horizontal="left" vertical="center" wrapText="1"/>
    </xf>
    <xf numFmtId="0" fontId="85" fillId="0" borderId="79" xfId="113" applyNumberFormat="1" applyFont="1" applyFill="1" applyBorder="1" applyAlignment="1">
      <alignment horizontal="center" vertical="center"/>
    </xf>
    <xf numFmtId="0" fontId="85" fillId="0" borderId="77" xfId="113" applyNumberFormat="1" applyFont="1" applyFill="1" applyBorder="1" applyAlignment="1">
      <alignment horizontal="center" vertical="center"/>
    </xf>
    <xf numFmtId="0" fontId="85" fillId="0" borderId="78" xfId="113" applyNumberFormat="1" applyFont="1" applyFill="1" applyBorder="1" applyAlignment="1">
      <alignment horizontal="center" vertical="center"/>
    </xf>
    <xf numFmtId="0" fontId="81" fillId="33" borderId="88" xfId="113" applyFont="1" applyFill="1" applyBorder="1" applyAlignment="1">
      <alignment horizontal="left" vertical="center" wrapText="1"/>
    </xf>
    <xf numFmtId="0" fontId="81" fillId="58" borderId="80" xfId="113" applyFont="1" applyFill="1" applyBorder="1" applyAlignment="1">
      <alignment horizontal="center" vertical="center" wrapText="1"/>
    </xf>
    <xf numFmtId="0" fontId="81" fillId="58" borderId="82" xfId="113" applyFont="1" applyFill="1" applyBorder="1" applyAlignment="1">
      <alignment horizontal="center" vertical="center" wrapText="1"/>
    </xf>
    <xf numFmtId="0" fontId="81" fillId="58" borderId="83" xfId="113" applyFont="1" applyFill="1" applyBorder="1" applyAlignment="1">
      <alignment horizontal="center" vertical="center" wrapText="1"/>
    </xf>
    <xf numFmtId="0" fontId="64" fillId="0" borderId="84" xfId="113" applyFont="1" applyBorder="1" applyAlignment="1">
      <alignment horizontal="center" vertical="center"/>
    </xf>
    <xf numFmtId="0" fontId="64" fillId="0" borderId="82" xfId="113" applyFont="1" applyBorder="1" applyAlignment="1">
      <alignment horizontal="center" vertical="center"/>
    </xf>
    <xf numFmtId="0" fontId="64" fillId="0" borderId="83" xfId="113" applyFont="1" applyBorder="1" applyAlignment="1">
      <alignment horizontal="center" vertical="center"/>
    </xf>
    <xf numFmtId="0" fontId="79" fillId="0" borderId="0" xfId="113" applyFont="1" applyBorder="1" applyAlignment="1">
      <alignment horizontal="center" vertical="center"/>
    </xf>
    <xf numFmtId="0" fontId="79" fillId="0" borderId="0" xfId="113" applyFont="1" applyBorder="1" applyAlignment="1">
      <alignment vertical="center" wrapText="1"/>
    </xf>
    <xf numFmtId="0" fontId="64" fillId="0" borderId="0" xfId="113" applyFont="1" applyBorder="1" applyAlignment="1">
      <alignment vertical="center"/>
    </xf>
    <xf numFmtId="0" fontId="87" fillId="0" borderId="0" xfId="113" applyFont="1"/>
    <xf numFmtId="0" fontId="87" fillId="0" borderId="0" xfId="113" applyFont="1" applyAlignment="1"/>
    <xf numFmtId="0" fontId="76" fillId="61" borderId="85" xfId="113" applyFont="1" applyFill="1" applyBorder="1" applyAlignment="1">
      <alignment vertical="center"/>
    </xf>
    <xf numFmtId="4" fontId="76" fillId="58" borderId="68" xfId="113" applyNumberFormat="1" applyFont="1" applyFill="1" applyBorder="1" applyAlignment="1">
      <alignment vertical="center"/>
    </xf>
    <xf numFmtId="4" fontId="76" fillId="58" borderId="71" xfId="113" applyNumberFormat="1" applyFont="1" applyFill="1" applyBorder="1" applyAlignment="1">
      <alignment vertical="center"/>
    </xf>
    <xf numFmtId="4" fontId="76" fillId="58" borderId="72" xfId="113" applyNumberFormat="1" applyFont="1" applyFill="1" applyBorder="1" applyAlignment="1">
      <alignment vertical="center"/>
    </xf>
    <xf numFmtId="4" fontId="76" fillId="0" borderId="73" xfId="113" applyNumberFormat="1" applyFont="1" applyBorder="1" applyAlignment="1">
      <alignment vertical="center"/>
    </xf>
    <xf numFmtId="4" fontId="76" fillId="0" borderId="71" xfId="113" applyNumberFormat="1" applyFont="1" applyBorder="1" applyAlignment="1">
      <alignment vertical="center"/>
    </xf>
    <xf numFmtId="4" fontId="76" fillId="0" borderId="72" xfId="113" applyNumberFormat="1" applyFont="1" applyBorder="1" applyAlignment="1">
      <alignment vertical="center"/>
    </xf>
    <xf numFmtId="0" fontId="76" fillId="61" borderId="86" xfId="113" applyFont="1" applyFill="1" applyBorder="1" applyAlignment="1">
      <alignment vertical="center"/>
    </xf>
    <xf numFmtId="4" fontId="76" fillId="58" borderId="74" xfId="113" applyNumberFormat="1" applyFont="1" applyFill="1" applyBorder="1" applyAlignment="1">
      <alignment vertical="center"/>
    </xf>
    <xf numFmtId="4" fontId="76" fillId="58" borderId="77" xfId="113" applyNumberFormat="1" applyFont="1" applyFill="1" applyBorder="1" applyAlignment="1">
      <alignment vertical="center"/>
    </xf>
    <xf numFmtId="4" fontId="76" fillId="58" borderId="78" xfId="113" applyNumberFormat="1" applyFont="1" applyFill="1" applyBorder="1" applyAlignment="1">
      <alignment vertical="center"/>
    </xf>
    <xf numFmtId="4" fontId="76" fillId="0" borderId="79" xfId="113" applyNumberFormat="1" applyFont="1" applyBorder="1" applyAlignment="1">
      <alignment vertical="center"/>
    </xf>
    <xf numFmtId="4" fontId="76" fillId="0" borderId="77" xfId="113" applyNumberFormat="1" applyFont="1" applyBorder="1" applyAlignment="1">
      <alignment vertical="center"/>
    </xf>
    <xf numFmtId="4" fontId="76" fillId="0" borderId="78" xfId="113" applyNumberFormat="1" applyFont="1" applyBorder="1" applyAlignment="1">
      <alignment vertical="center"/>
    </xf>
    <xf numFmtId="0" fontId="88" fillId="61" borderId="86" xfId="113" applyFont="1" applyFill="1" applyBorder="1" applyAlignment="1">
      <alignment horizontal="left" vertical="center" wrapText="1"/>
    </xf>
    <xf numFmtId="4" fontId="76" fillId="58" borderId="74" xfId="113" applyNumberFormat="1" applyFont="1" applyFill="1" applyBorder="1" applyAlignment="1">
      <alignment horizontal="center" vertical="center"/>
    </xf>
    <xf numFmtId="4" fontId="76" fillId="58" borderId="77" xfId="113" applyNumberFormat="1" applyFont="1" applyFill="1" applyBorder="1" applyAlignment="1">
      <alignment horizontal="center" vertical="center"/>
    </xf>
    <xf numFmtId="0" fontId="88" fillId="61" borderId="87" xfId="113" applyFont="1" applyFill="1" applyBorder="1" applyAlignment="1">
      <alignment horizontal="left" vertical="center" wrapText="1"/>
    </xf>
    <xf numFmtId="4" fontId="76" fillId="58" borderId="80" xfId="113" applyNumberFormat="1" applyFont="1" applyFill="1" applyBorder="1" applyAlignment="1">
      <alignment horizontal="center" vertical="center"/>
    </xf>
    <xf numFmtId="4" fontId="76" fillId="58" borderId="82" xfId="113" applyNumberFormat="1" applyFont="1" applyFill="1" applyBorder="1" applyAlignment="1">
      <alignment vertical="center"/>
    </xf>
    <xf numFmtId="4" fontId="76" fillId="58" borderId="82" xfId="113" applyNumberFormat="1" applyFont="1" applyFill="1" applyBorder="1" applyAlignment="1">
      <alignment horizontal="center" vertical="center"/>
    </xf>
    <xf numFmtId="4" fontId="76" fillId="58" borderId="83" xfId="113" applyNumberFormat="1" applyFont="1" applyFill="1" applyBorder="1" applyAlignment="1">
      <alignment vertical="center"/>
    </xf>
    <xf numFmtId="4" fontId="76" fillId="0" borderId="84" xfId="113" applyNumberFormat="1" applyFont="1" applyBorder="1" applyAlignment="1">
      <alignment vertical="center"/>
    </xf>
    <xf numFmtId="4" fontId="76" fillId="0" borderId="82" xfId="113" applyNumberFormat="1" applyFont="1" applyBorder="1" applyAlignment="1">
      <alignment vertical="center"/>
    </xf>
    <xf numFmtId="4" fontId="76" fillId="0" borderId="83" xfId="113" applyNumberFormat="1" applyFont="1" applyBorder="1" applyAlignment="1">
      <alignment vertical="center"/>
    </xf>
    <xf numFmtId="0" fontId="64" fillId="0" borderId="0" xfId="113" applyFont="1" applyFill="1"/>
    <xf numFmtId="0" fontId="71" fillId="0" borderId="0" xfId="113" applyFont="1"/>
    <xf numFmtId="0" fontId="77" fillId="0" borderId="0" xfId="113" applyFont="1" applyFill="1"/>
    <xf numFmtId="0" fontId="69" fillId="0" borderId="0" xfId="113" applyFont="1"/>
    <xf numFmtId="0" fontId="65" fillId="0" borderId="0" xfId="113" applyFont="1" applyFill="1"/>
    <xf numFmtId="0" fontId="89" fillId="0" borderId="0" xfId="113" applyFont="1" applyAlignment="1">
      <alignment vertical="center"/>
    </xf>
    <xf numFmtId="0" fontId="64" fillId="0" borderId="0" xfId="113" applyFont="1" applyAlignment="1">
      <alignment vertical="center"/>
    </xf>
    <xf numFmtId="0" fontId="76" fillId="0" borderId="10" xfId="113" applyFont="1" applyBorder="1"/>
    <xf numFmtId="10" fontId="76" fillId="58" borderId="68" xfId="113" applyNumberFormat="1" applyFont="1" applyFill="1" applyBorder="1" applyAlignment="1">
      <alignment horizontal="center" vertical="center"/>
    </xf>
    <xf numFmtId="10" fontId="76" fillId="58" borderId="71" xfId="113" applyNumberFormat="1" applyFont="1" applyFill="1" applyBorder="1" applyAlignment="1">
      <alignment horizontal="center" vertical="center"/>
    </xf>
    <xf numFmtId="10" fontId="76" fillId="58" borderId="72" xfId="113" applyNumberFormat="1" applyFont="1" applyFill="1" applyBorder="1" applyAlignment="1">
      <alignment horizontal="center" vertical="center"/>
    </xf>
    <xf numFmtId="10" fontId="76" fillId="0" borderId="73" xfId="113" applyNumberFormat="1" applyFont="1" applyFill="1" applyBorder="1" applyAlignment="1">
      <alignment vertical="center"/>
    </xf>
    <xf numFmtId="10" fontId="76" fillId="0" borderId="71" xfId="113" applyNumberFormat="1" applyFont="1" applyFill="1" applyBorder="1" applyAlignment="1">
      <alignment vertical="center"/>
    </xf>
    <xf numFmtId="10" fontId="76" fillId="0" borderId="72" xfId="113" applyNumberFormat="1" applyFont="1" applyFill="1" applyBorder="1" applyAlignment="1">
      <alignment vertical="center"/>
    </xf>
    <xf numFmtId="0" fontId="76" fillId="0" borderId="11" xfId="113" applyFont="1" applyBorder="1"/>
    <xf numFmtId="10" fontId="76" fillId="58" borderId="80" xfId="113" applyNumberFormat="1" applyFont="1" applyFill="1" applyBorder="1" applyAlignment="1">
      <alignment horizontal="center" vertical="center"/>
    </xf>
    <xf numFmtId="10" fontId="76" fillId="58" borderId="82" xfId="113" applyNumberFormat="1" applyFont="1" applyFill="1" applyBorder="1" applyAlignment="1">
      <alignment horizontal="center" vertical="center"/>
    </xf>
    <xf numFmtId="10" fontId="76" fillId="58" borderId="83" xfId="113" applyNumberFormat="1" applyFont="1" applyFill="1" applyBorder="1" applyAlignment="1">
      <alignment horizontal="center" vertical="center"/>
    </xf>
    <xf numFmtId="10" fontId="76" fillId="0" borderId="84" xfId="113" applyNumberFormat="1" applyFont="1" applyFill="1" applyBorder="1" applyAlignment="1">
      <alignment vertical="center"/>
    </xf>
    <xf numFmtId="10" fontId="76" fillId="0" borderId="82" xfId="113" applyNumberFormat="1" applyFont="1" applyFill="1" applyBorder="1" applyAlignment="1">
      <alignment vertical="center"/>
    </xf>
    <xf numFmtId="10" fontId="76" fillId="0" borderId="83" xfId="113" applyNumberFormat="1" applyFont="1" applyFill="1" applyBorder="1" applyAlignment="1">
      <alignment vertical="center"/>
    </xf>
    <xf numFmtId="0" fontId="74" fillId="0" borderId="0" xfId="113" applyFont="1"/>
    <xf numFmtId="0" fontId="74" fillId="0" borderId="0" xfId="113" applyFont="1" applyAlignment="1"/>
    <xf numFmtId="0" fontId="74" fillId="0" borderId="10" xfId="113" applyFont="1" applyBorder="1" applyAlignment="1">
      <alignment vertical="center"/>
    </xf>
    <xf numFmtId="167" fontId="74" fillId="58" borderId="68" xfId="113" applyNumberFormat="1" applyFont="1" applyFill="1" applyBorder="1" applyAlignment="1">
      <alignment horizontal="center" vertical="center"/>
    </xf>
    <xf numFmtId="167" fontId="74" fillId="58" borderId="71" xfId="113" applyNumberFormat="1" applyFont="1" applyFill="1" applyBorder="1" applyAlignment="1">
      <alignment horizontal="right" vertical="center"/>
    </xf>
    <xf numFmtId="167" fontId="74" fillId="58" borderId="72" xfId="113" applyNumberFormat="1" applyFont="1" applyFill="1" applyBorder="1" applyAlignment="1">
      <alignment horizontal="right" vertical="center"/>
    </xf>
    <xf numFmtId="0" fontId="90" fillId="0" borderId="0" xfId="113" applyFont="1"/>
    <xf numFmtId="0" fontId="76" fillId="0" borderId="0" xfId="113" applyFont="1"/>
    <xf numFmtId="0" fontId="76" fillId="0" borderId="0" xfId="113" applyFont="1" applyAlignment="1"/>
    <xf numFmtId="0" fontId="76" fillId="0" borderId="89" xfId="113" applyFont="1" applyBorder="1" applyAlignment="1">
      <alignment horizontal="left" vertical="center" indent="1"/>
    </xf>
    <xf numFmtId="167" fontId="76" fillId="58" borderId="74" xfId="113" applyNumberFormat="1" applyFont="1" applyFill="1" applyBorder="1" applyAlignment="1">
      <alignment horizontal="center" vertical="center"/>
    </xf>
    <xf numFmtId="167" fontId="76" fillId="58" borderId="77" xfId="113" applyNumberFormat="1" applyFont="1" applyFill="1" applyBorder="1" applyAlignment="1">
      <alignment horizontal="right" vertical="center"/>
    </xf>
    <xf numFmtId="167" fontId="76" fillId="58" borderId="78" xfId="113" applyNumberFormat="1" applyFont="1" applyFill="1" applyBorder="1" applyAlignment="1">
      <alignment horizontal="right" vertical="center"/>
    </xf>
    <xf numFmtId="0" fontId="76" fillId="0" borderId="89" xfId="113" applyFont="1" applyBorder="1" applyAlignment="1">
      <alignment horizontal="left" vertical="center" wrapText="1" indent="2"/>
    </xf>
    <xf numFmtId="167" fontId="76" fillId="58" borderId="74" xfId="113" applyNumberFormat="1" applyFont="1" applyFill="1" applyBorder="1" applyAlignment="1">
      <alignment horizontal="center" vertical="center" wrapText="1"/>
    </xf>
    <xf numFmtId="167" fontId="76" fillId="58" borderId="77" xfId="113" applyNumberFormat="1" applyFont="1" applyFill="1" applyBorder="1" applyAlignment="1">
      <alignment horizontal="right" vertical="center" wrapText="1"/>
    </xf>
    <xf numFmtId="167" fontId="76" fillId="58" borderId="78" xfId="113" applyNumberFormat="1" applyFont="1" applyFill="1" applyBorder="1" applyAlignment="1">
      <alignment horizontal="right" vertical="center" wrapText="1"/>
    </xf>
    <xf numFmtId="0" fontId="76" fillId="0" borderId="11" xfId="113" applyFont="1" applyBorder="1" applyAlignment="1">
      <alignment horizontal="left" vertical="center" wrapText="1" indent="2"/>
    </xf>
    <xf numFmtId="167" fontId="76" fillId="58" borderId="90" xfId="113" applyNumberFormat="1" applyFont="1" applyFill="1" applyBorder="1" applyAlignment="1">
      <alignment horizontal="center" vertical="center" wrapText="1"/>
    </xf>
    <xf numFmtId="167" fontId="76" fillId="58" borderId="91" xfId="113" applyNumberFormat="1" applyFont="1" applyFill="1" applyBorder="1" applyAlignment="1">
      <alignment horizontal="right" vertical="center" wrapText="1"/>
    </xf>
    <xf numFmtId="167" fontId="76" fillId="58" borderId="92" xfId="113" applyNumberFormat="1" applyFont="1" applyFill="1" applyBorder="1" applyAlignment="1">
      <alignment horizontal="right" vertical="center" wrapText="1"/>
    </xf>
    <xf numFmtId="0" fontId="76" fillId="0" borderId="89" xfId="113" applyFont="1" applyBorder="1" applyAlignment="1">
      <alignment horizontal="left" vertical="center" wrapText="1" indent="1"/>
    </xf>
    <xf numFmtId="0" fontId="74" fillId="0" borderId="89" xfId="113" applyFont="1" applyBorder="1" applyAlignment="1">
      <alignment horizontal="left" vertical="center" indent="1"/>
    </xf>
    <xf numFmtId="167" fontId="74" fillId="58" borderId="74" xfId="113" applyNumberFormat="1" applyFont="1" applyFill="1" applyBorder="1" applyAlignment="1">
      <alignment horizontal="center" vertical="center"/>
    </xf>
    <xf numFmtId="167" fontId="74" fillId="58" borderId="77" xfId="113" applyNumberFormat="1" applyFont="1" applyFill="1" applyBorder="1" applyAlignment="1">
      <alignment horizontal="right" vertical="center"/>
    </xf>
    <xf numFmtId="167" fontId="74" fillId="58" borderId="78" xfId="113" applyNumberFormat="1" applyFont="1" applyFill="1" applyBorder="1" applyAlignment="1">
      <alignment horizontal="right" vertical="center"/>
    </xf>
    <xf numFmtId="167" fontId="76" fillId="58" borderId="80" xfId="113" applyNumberFormat="1" applyFont="1" applyFill="1" applyBorder="1" applyAlignment="1">
      <alignment horizontal="center" vertical="center" wrapText="1"/>
    </xf>
    <xf numFmtId="167" fontId="76" fillId="58" borderId="82" xfId="113" applyNumberFormat="1" applyFont="1" applyFill="1" applyBorder="1" applyAlignment="1">
      <alignment horizontal="right" vertical="center" wrapText="1"/>
    </xf>
    <xf numFmtId="167" fontId="76" fillId="58" borderId="83" xfId="113" applyNumberFormat="1" applyFont="1" applyFill="1" applyBorder="1" applyAlignment="1">
      <alignment horizontal="right" vertical="center" wrapText="1"/>
    </xf>
    <xf numFmtId="0" fontId="91" fillId="0" borderId="0" xfId="113" applyFont="1" applyFill="1"/>
    <xf numFmtId="0" fontId="74" fillId="0" borderId="0" xfId="113" applyFont="1" applyFill="1" applyAlignment="1">
      <alignment horizontal="center" vertical="center" wrapText="1"/>
    </xf>
    <xf numFmtId="0" fontId="76" fillId="0" borderId="0" xfId="113" applyFont="1" applyAlignment="1">
      <alignment vertical="center"/>
    </xf>
    <xf numFmtId="165" fontId="74" fillId="58" borderId="68" xfId="113" applyNumberFormat="1" applyFont="1" applyFill="1" applyBorder="1" applyAlignment="1">
      <alignment horizontal="center" vertical="center"/>
    </xf>
    <xf numFmtId="165" fontId="74" fillId="58" borderId="71" xfId="113" applyNumberFormat="1" applyFont="1" applyFill="1" applyBorder="1" applyAlignment="1">
      <alignment horizontal="right" vertical="center"/>
    </xf>
    <xf numFmtId="165" fontId="74" fillId="58" borderId="72" xfId="113" applyNumberFormat="1" applyFont="1" applyFill="1" applyBorder="1" applyAlignment="1">
      <alignment horizontal="right" vertical="center"/>
    </xf>
    <xf numFmtId="165" fontId="74" fillId="0" borderId="73" xfId="113" applyNumberFormat="1" applyFont="1" applyBorder="1" applyAlignment="1">
      <alignment vertical="center"/>
    </xf>
    <xf numFmtId="165" fontId="74" fillId="0" borderId="71" xfId="113" applyNumberFormat="1" applyFont="1" applyBorder="1" applyAlignment="1">
      <alignment vertical="center"/>
    </xf>
    <xf numFmtId="165" fontId="74" fillId="0" borderId="72" xfId="113" applyNumberFormat="1" applyFont="1" applyBorder="1" applyAlignment="1">
      <alignment vertical="center"/>
    </xf>
    <xf numFmtId="165" fontId="76" fillId="58" borderId="74" xfId="113" applyNumberFormat="1" applyFont="1" applyFill="1" applyBorder="1" applyAlignment="1">
      <alignment horizontal="center" vertical="center"/>
    </xf>
    <xf numFmtId="165" fontId="76" fillId="58" borderId="77" xfId="113" applyNumberFormat="1" applyFont="1" applyFill="1" applyBorder="1" applyAlignment="1">
      <alignment horizontal="right" vertical="center"/>
    </xf>
    <xf numFmtId="165" fontId="76" fillId="58" borderId="78" xfId="113" applyNumberFormat="1" applyFont="1" applyFill="1" applyBorder="1" applyAlignment="1">
      <alignment horizontal="right" vertical="center"/>
    </xf>
    <xf numFmtId="165" fontId="76" fillId="0" borderId="79" xfId="113" applyNumberFormat="1" applyFont="1" applyBorder="1" applyAlignment="1">
      <alignment vertical="center"/>
    </xf>
    <xf numFmtId="165" fontId="76" fillId="0" borderId="77" xfId="113" applyNumberFormat="1" applyFont="1" applyBorder="1" applyAlignment="1">
      <alignment vertical="center"/>
    </xf>
    <xf numFmtId="165" fontId="76" fillId="0" borderId="78" xfId="113" applyNumberFormat="1" applyFont="1" applyBorder="1" applyAlignment="1">
      <alignment vertical="center"/>
    </xf>
    <xf numFmtId="165" fontId="76" fillId="58" borderId="74" xfId="113" applyNumberFormat="1" applyFont="1" applyFill="1" applyBorder="1" applyAlignment="1">
      <alignment horizontal="center" vertical="center" wrapText="1"/>
    </xf>
    <xf numFmtId="165" fontId="76" fillId="58" borderId="77" xfId="113" applyNumberFormat="1" applyFont="1" applyFill="1" applyBorder="1" applyAlignment="1">
      <alignment horizontal="right" vertical="center" wrapText="1"/>
    </xf>
    <xf numFmtId="165" fontId="76" fillId="58" borderId="78" xfId="113" applyNumberFormat="1" applyFont="1" applyFill="1" applyBorder="1" applyAlignment="1">
      <alignment horizontal="right" vertical="center" wrapText="1"/>
    </xf>
    <xf numFmtId="165" fontId="76" fillId="58" borderId="80" xfId="113" applyNumberFormat="1" applyFont="1" applyFill="1" applyBorder="1" applyAlignment="1">
      <alignment horizontal="center" vertical="center" wrapText="1"/>
    </xf>
    <xf numFmtId="165" fontId="76" fillId="58" borderId="82" xfId="113" applyNumberFormat="1" applyFont="1" applyFill="1" applyBorder="1" applyAlignment="1">
      <alignment horizontal="right" vertical="center" wrapText="1"/>
    </xf>
    <xf numFmtId="165" fontId="76" fillId="58" borderId="83" xfId="113" applyNumberFormat="1" applyFont="1" applyFill="1" applyBorder="1" applyAlignment="1">
      <alignment horizontal="right" vertical="center" wrapText="1"/>
    </xf>
    <xf numFmtId="165" fontId="76" fillId="0" borderId="84" xfId="113" applyNumberFormat="1" applyFont="1" applyBorder="1" applyAlignment="1">
      <alignment vertical="center"/>
    </xf>
    <xf numFmtId="165" fontId="76" fillId="0" borderId="82" xfId="113" applyNumberFormat="1" applyFont="1" applyBorder="1" applyAlignment="1">
      <alignment vertical="center"/>
    </xf>
    <xf numFmtId="165" fontId="76" fillId="0" borderId="83" xfId="113" applyNumberFormat="1" applyFont="1" applyBorder="1" applyAlignment="1">
      <alignment vertical="center"/>
    </xf>
    <xf numFmtId="165" fontId="74" fillId="58" borderId="74" xfId="113" applyNumberFormat="1" applyFont="1" applyFill="1" applyBorder="1" applyAlignment="1">
      <alignment horizontal="center" vertical="center"/>
    </xf>
    <xf numFmtId="165" fontId="74" fillId="58" borderId="77" xfId="113" applyNumberFormat="1" applyFont="1" applyFill="1" applyBorder="1" applyAlignment="1">
      <alignment horizontal="right" vertical="center"/>
    </xf>
    <xf numFmtId="165" fontId="74" fillId="58" borderId="78" xfId="113" applyNumberFormat="1" applyFont="1" applyFill="1" applyBorder="1" applyAlignment="1">
      <alignment horizontal="right" vertical="center"/>
    </xf>
    <xf numFmtId="165" fontId="74" fillId="0" borderId="79" xfId="113" applyNumberFormat="1" applyFont="1" applyBorder="1" applyAlignment="1">
      <alignment vertical="center"/>
    </xf>
    <xf numFmtId="165" fontId="74" fillId="0" borderId="77" xfId="113" applyNumberFormat="1" applyFont="1" applyBorder="1" applyAlignment="1">
      <alignment vertical="center"/>
    </xf>
    <xf numFmtId="165" fontId="74" fillId="0" borderId="78" xfId="113" applyNumberFormat="1" applyFont="1" applyBorder="1" applyAlignment="1">
      <alignment vertical="center"/>
    </xf>
    <xf numFmtId="165" fontId="74" fillId="58" borderId="68" xfId="113" applyNumberFormat="1" applyFont="1" applyFill="1" applyBorder="1" applyAlignment="1">
      <alignment vertical="center"/>
    </xf>
    <xf numFmtId="165" fontId="74" fillId="58" borderId="71" xfId="113" applyNumberFormat="1" applyFont="1" applyFill="1" applyBorder="1" applyAlignment="1">
      <alignment vertical="center"/>
    </xf>
    <xf numFmtId="165" fontId="74" fillId="58" borderId="72" xfId="113" applyNumberFormat="1" applyFont="1" applyFill="1" applyBorder="1" applyAlignment="1">
      <alignment vertical="center"/>
    </xf>
    <xf numFmtId="165" fontId="76" fillId="58" borderId="74" xfId="113" applyNumberFormat="1" applyFont="1" applyFill="1" applyBorder="1" applyAlignment="1">
      <alignment vertical="center"/>
    </xf>
    <xf numFmtId="165" fontId="76" fillId="58" borderId="77" xfId="113" applyNumberFormat="1" applyFont="1" applyFill="1" applyBorder="1" applyAlignment="1">
      <alignment vertical="center"/>
    </xf>
    <xf numFmtId="165" fontId="76" fillId="58" borderId="78" xfId="113" applyNumberFormat="1" applyFont="1" applyFill="1" applyBorder="1" applyAlignment="1">
      <alignment vertical="center"/>
    </xf>
    <xf numFmtId="165" fontId="76" fillId="58" borderId="80" xfId="113" applyNumberFormat="1" applyFont="1" applyFill="1" applyBorder="1" applyAlignment="1">
      <alignment vertical="center"/>
    </xf>
    <xf numFmtId="165" fontId="76" fillId="58" borderId="82" xfId="113" applyNumberFormat="1" applyFont="1" applyFill="1" applyBorder="1" applyAlignment="1">
      <alignment vertical="center"/>
    </xf>
    <xf numFmtId="165" fontId="76" fillId="58" borderId="83" xfId="113" applyNumberFormat="1" applyFont="1" applyFill="1" applyBorder="1" applyAlignment="1">
      <alignment vertical="center"/>
    </xf>
    <xf numFmtId="165" fontId="74" fillId="58" borderId="74" xfId="113" applyNumberFormat="1" applyFont="1" applyFill="1" applyBorder="1" applyAlignment="1">
      <alignment vertical="center"/>
    </xf>
    <xf numFmtId="165" fontId="74" fillId="58" borderId="77" xfId="113" applyNumberFormat="1" applyFont="1" applyFill="1" applyBorder="1" applyAlignment="1">
      <alignment vertical="center"/>
    </xf>
    <xf numFmtId="165" fontId="74" fillId="58" borderId="78" xfId="113" applyNumberFormat="1" applyFont="1" applyFill="1" applyBorder="1" applyAlignment="1">
      <alignment vertical="center"/>
    </xf>
    <xf numFmtId="0" fontId="92" fillId="0" borderId="0" xfId="113" applyFont="1" applyAlignment="1">
      <alignment horizontal="left" indent="1"/>
    </xf>
    <xf numFmtId="0" fontId="92" fillId="0" borderId="0" xfId="113" applyFont="1" applyFill="1" applyAlignment="1">
      <alignment horizontal="left" indent="1"/>
    </xf>
    <xf numFmtId="165" fontId="64" fillId="0" borderId="0" xfId="113" applyNumberFormat="1" applyFont="1"/>
    <xf numFmtId="0" fontId="69" fillId="0" borderId="67" xfId="113" applyFont="1" applyBorder="1" applyAlignment="1" applyProtection="1">
      <alignment horizontal="center" vertical="center" wrapText="1"/>
      <protection locked="0"/>
    </xf>
    <xf numFmtId="0" fontId="91" fillId="0" borderId="0" xfId="113" applyFont="1" applyBorder="1" applyAlignment="1" applyProtection="1">
      <alignment horizontal="center" vertical="center"/>
      <protection locked="0"/>
    </xf>
    <xf numFmtId="0" fontId="93" fillId="0" borderId="0" xfId="113" applyFont="1" applyAlignment="1" applyProtection="1">
      <alignment horizontal="right"/>
      <protection locked="0"/>
    </xf>
    <xf numFmtId="0" fontId="54" fillId="56" borderId="46" xfId="104" applyFont="1" applyFill="1" applyBorder="1" applyAlignment="1">
      <alignment horizontal="left" vertical="top"/>
    </xf>
    <xf numFmtId="0" fontId="54" fillId="56" borderId="47" xfId="104" applyFont="1" applyFill="1" applyBorder="1" applyAlignment="1">
      <alignment horizontal="left" vertical="top"/>
    </xf>
    <xf numFmtId="0" fontId="54" fillId="56" borderId="48" xfId="104" applyFont="1" applyFill="1" applyBorder="1" applyAlignment="1">
      <alignment horizontal="left" vertical="top"/>
    </xf>
    <xf numFmtId="0" fontId="46" fillId="0" borderId="0" xfId="104" applyFont="1" applyAlignment="1">
      <alignment horizontal="right" wrapText="1"/>
    </xf>
    <xf numFmtId="0" fontId="47" fillId="0" borderId="0" xfId="104" applyFont="1" applyBorder="1" applyAlignment="1">
      <alignment horizontal="center" vertical="center" wrapText="1"/>
    </xf>
    <xf numFmtId="0" fontId="48" fillId="57" borderId="21" xfId="104" applyFont="1" applyFill="1" applyBorder="1" applyAlignment="1">
      <alignment horizontal="center" vertical="center"/>
    </xf>
    <xf numFmtId="0" fontId="48" fillId="57" borderId="28" xfId="104" applyFont="1" applyFill="1" applyBorder="1" applyAlignment="1">
      <alignment horizontal="center" vertical="center"/>
    </xf>
    <xf numFmtId="0" fontId="48" fillId="57" borderId="22" xfId="104" applyFont="1" applyFill="1" applyBorder="1" applyAlignment="1">
      <alignment horizontal="center" vertical="center" wrapText="1"/>
    </xf>
    <xf numFmtId="0" fontId="48" fillId="57" borderId="29" xfId="104" applyFont="1" applyFill="1" applyBorder="1" applyAlignment="1">
      <alignment horizontal="center" vertical="center" wrapText="1"/>
    </xf>
    <xf numFmtId="0" fontId="50" fillId="57" borderId="22" xfId="104" applyFont="1" applyFill="1" applyBorder="1" applyAlignment="1">
      <alignment horizontal="center" vertical="center" wrapText="1"/>
    </xf>
    <xf numFmtId="0" fontId="50" fillId="57" borderId="29" xfId="104" applyFont="1" applyFill="1" applyBorder="1" applyAlignment="1">
      <alignment horizontal="center" vertical="center" wrapText="1"/>
    </xf>
    <xf numFmtId="0" fontId="48" fillId="57" borderId="23" xfId="104" applyFont="1" applyFill="1" applyBorder="1" applyAlignment="1">
      <alignment horizontal="center" vertical="center" wrapText="1"/>
    </xf>
    <xf numFmtId="0" fontId="48" fillId="57" borderId="24" xfId="104" applyFont="1" applyFill="1" applyBorder="1" applyAlignment="1">
      <alignment horizontal="center" vertical="center" wrapText="1"/>
    </xf>
    <xf numFmtId="0" fontId="48" fillId="57" borderId="25" xfId="104" applyFont="1" applyFill="1" applyBorder="1" applyAlignment="1">
      <alignment horizontal="center" vertical="center" wrapText="1"/>
    </xf>
    <xf numFmtId="0" fontId="48" fillId="57" borderId="26" xfId="104" applyFont="1" applyFill="1" applyBorder="1" applyAlignment="1">
      <alignment horizontal="center" vertical="center" wrapText="1"/>
    </xf>
    <xf numFmtId="0" fontId="48" fillId="57" borderId="27" xfId="104" applyFont="1" applyFill="1" applyBorder="1" applyAlignment="1">
      <alignment horizontal="center" vertical="center" wrapText="1"/>
    </xf>
    <xf numFmtId="0" fontId="48" fillId="57" borderId="32" xfId="104" applyFont="1" applyFill="1" applyBorder="1" applyAlignment="1">
      <alignment horizontal="center" vertical="center" wrapText="1"/>
    </xf>
    <xf numFmtId="0" fontId="50" fillId="33" borderId="31" xfId="104" applyFont="1" applyFill="1" applyBorder="1" applyAlignment="1">
      <alignment horizontal="left" vertical="top"/>
    </xf>
    <xf numFmtId="0" fontId="54" fillId="0" borderId="31" xfId="104" applyFont="1" applyFill="1" applyBorder="1" applyAlignment="1">
      <alignment horizontal="left" vertical="top"/>
    </xf>
    <xf numFmtId="0" fontId="54" fillId="0" borderId="30" xfId="104" applyFont="1" applyFill="1" applyBorder="1" applyAlignment="1">
      <alignment horizontal="left" vertical="top"/>
    </xf>
    <xf numFmtId="0" fontId="48" fillId="56" borderId="40" xfId="104" applyFont="1" applyFill="1" applyBorder="1" applyAlignment="1">
      <alignment horizontal="left" vertical="top" wrapText="1"/>
    </xf>
    <xf numFmtId="0" fontId="55" fillId="56" borderId="41" xfId="104" applyFont="1" applyFill="1" applyBorder="1" applyAlignment="1">
      <alignment horizontal="left" vertical="top" wrapText="1"/>
    </xf>
    <xf numFmtId="0" fontId="55" fillId="56" borderId="42" xfId="104" applyFont="1" applyFill="1" applyBorder="1" applyAlignment="1">
      <alignment horizontal="left" vertical="top" wrapText="1"/>
    </xf>
    <xf numFmtId="0" fontId="48" fillId="56" borderId="43" xfId="104" applyFont="1" applyFill="1" applyBorder="1" applyAlignment="1">
      <alignment horizontal="left" vertical="top" wrapText="1"/>
    </xf>
    <xf numFmtId="0" fontId="54" fillId="56" borderId="29" xfId="104" applyFont="1" applyFill="1" applyBorder="1" applyAlignment="1">
      <alignment horizontal="left" vertical="top"/>
    </xf>
    <xf numFmtId="0" fontId="48" fillId="56" borderId="28" xfId="104" applyFont="1" applyFill="1" applyBorder="1" applyAlignment="1">
      <alignment horizontal="center" vertical="top"/>
    </xf>
    <xf numFmtId="0" fontId="48" fillId="56" borderId="59" xfId="104" applyFont="1" applyFill="1" applyBorder="1" applyAlignment="1">
      <alignment horizontal="center" vertical="top"/>
    </xf>
    <xf numFmtId="0" fontId="48" fillId="56" borderId="29" xfId="104" applyFont="1" applyFill="1" applyBorder="1" applyAlignment="1">
      <alignment horizontal="left" vertical="top"/>
    </xf>
    <xf numFmtId="0" fontId="48" fillId="56" borderId="53" xfId="104" applyFont="1" applyFill="1" applyBorder="1" applyAlignment="1">
      <alignment horizontal="left" vertical="top"/>
    </xf>
    <xf numFmtId="0" fontId="48" fillId="56" borderId="29" xfId="104" applyFont="1" applyFill="1" applyBorder="1" applyAlignment="1">
      <alignment horizontal="center" vertical="top"/>
    </xf>
    <xf numFmtId="0" fontId="48" fillId="56" borderId="53" xfId="104" applyFont="1" applyFill="1" applyBorder="1" applyAlignment="1">
      <alignment horizontal="center" vertical="top"/>
    </xf>
    <xf numFmtId="164" fontId="58" fillId="56" borderId="32" xfId="105" applyNumberFormat="1" applyFont="1" applyFill="1" applyBorder="1" applyAlignment="1">
      <alignment vertical="center"/>
    </xf>
    <xf numFmtId="164" fontId="58" fillId="56" borderId="60" xfId="105" applyNumberFormat="1" applyFont="1" applyFill="1" applyBorder="1" applyAlignment="1">
      <alignment vertical="center"/>
    </xf>
    <xf numFmtId="0" fontId="48" fillId="56" borderId="37" xfId="104" applyFont="1" applyFill="1" applyBorder="1" applyAlignment="1">
      <alignment horizontal="center" vertical="top"/>
    </xf>
    <xf numFmtId="0" fontId="48" fillId="56" borderId="30" xfId="104" applyFont="1" applyFill="1" applyBorder="1" applyAlignment="1">
      <alignment horizontal="left" vertical="top"/>
    </xf>
    <xf numFmtId="0" fontId="48" fillId="56" borderId="30" xfId="104" applyFont="1" applyFill="1" applyBorder="1" applyAlignment="1">
      <alignment horizontal="center" vertical="top"/>
    </xf>
    <xf numFmtId="164" fontId="58" fillId="56" borderId="38" xfId="105" applyNumberFormat="1" applyFont="1" applyFill="1" applyBorder="1" applyAlignment="1">
      <alignment vertical="center"/>
    </xf>
    <xf numFmtId="0" fontId="54" fillId="56" borderId="43" xfId="104" applyFont="1" applyFill="1" applyBorder="1" applyAlignment="1">
      <alignment horizontal="left" vertical="top"/>
    </xf>
    <xf numFmtId="0" fontId="54" fillId="56" borderId="49" xfId="104" applyFont="1" applyFill="1" applyBorder="1" applyAlignment="1">
      <alignment horizontal="left" vertical="top"/>
    </xf>
    <xf numFmtId="0" fontId="48" fillId="0" borderId="28" xfId="104" applyFont="1" applyFill="1" applyBorder="1" applyAlignment="1">
      <alignment horizontal="center" vertical="top"/>
    </xf>
    <xf numFmtId="0" fontId="48" fillId="0" borderId="45" xfId="104" applyFont="1" applyFill="1" applyBorder="1" applyAlignment="1">
      <alignment horizontal="center" vertical="top"/>
    </xf>
    <xf numFmtId="0" fontId="48" fillId="0" borderId="53" xfId="104" applyFont="1" applyFill="1" applyBorder="1" applyAlignment="1">
      <alignment horizontal="center" vertical="center" wrapText="1"/>
    </xf>
    <xf numFmtId="0" fontId="48" fillId="0" borderId="31" xfId="104" applyFont="1" applyFill="1" applyBorder="1" applyAlignment="1">
      <alignment horizontal="center" vertical="center" wrapText="1"/>
    </xf>
    <xf numFmtId="0" fontId="48" fillId="0" borderId="54" xfId="104" applyFont="1" applyFill="1" applyBorder="1" applyAlignment="1">
      <alignment horizontal="center" vertical="center" wrapText="1"/>
    </xf>
    <xf numFmtId="0" fontId="48" fillId="0" borderId="53" xfId="104" applyFont="1" applyFill="1" applyBorder="1" applyAlignment="1">
      <alignment horizontal="center" vertical="center"/>
    </xf>
    <xf numFmtId="0" fontId="48" fillId="0" borderId="31" xfId="104" applyFont="1" applyFill="1" applyBorder="1" applyAlignment="1">
      <alignment horizontal="center" vertical="center"/>
    </xf>
    <xf numFmtId="0" fontId="48" fillId="0" borderId="54" xfId="104" applyFont="1" applyFill="1" applyBorder="1" applyAlignment="1">
      <alignment horizontal="center" vertical="center"/>
    </xf>
    <xf numFmtId="0" fontId="60" fillId="0" borderId="0" xfId="104" applyFont="1" applyFill="1" applyAlignment="1">
      <alignment horizontal="left" vertical="center"/>
    </xf>
    <xf numFmtId="164" fontId="58" fillId="0" borderId="32" xfId="105" applyNumberFormat="1" applyFont="1" applyFill="1" applyBorder="1" applyAlignment="1">
      <alignment horizontal="center" vertical="center"/>
    </xf>
    <xf numFmtId="164" fontId="58" fillId="0" borderId="50" xfId="105" applyNumberFormat="1" applyFont="1" applyFill="1" applyBorder="1" applyAlignment="1">
      <alignment horizontal="center" vertical="center"/>
    </xf>
    <xf numFmtId="0" fontId="48" fillId="0" borderId="21" xfId="104" applyFont="1" applyFill="1" applyBorder="1" applyAlignment="1">
      <alignment horizontal="center" vertical="top"/>
    </xf>
    <xf numFmtId="0" fontId="48" fillId="0" borderId="22" xfId="104" applyFont="1" applyFill="1" applyBorder="1" applyAlignment="1">
      <alignment horizontal="center" vertical="center" wrapText="1"/>
    </xf>
    <xf numFmtId="0" fontId="48" fillId="0" borderId="29" xfId="104" applyFont="1" applyFill="1" applyBorder="1" applyAlignment="1">
      <alignment horizontal="center" vertical="center" wrapText="1"/>
    </xf>
    <xf numFmtId="0" fontId="48" fillId="0" borderId="22" xfId="104" applyFont="1" applyFill="1" applyBorder="1" applyAlignment="1">
      <alignment horizontal="center" vertical="center"/>
    </xf>
    <xf numFmtId="0" fontId="48" fillId="0" borderId="29" xfId="104" applyFont="1" applyFill="1" applyBorder="1" applyAlignment="1">
      <alignment horizontal="center" vertical="center"/>
    </xf>
    <xf numFmtId="0" fontId="48" fillId="0" borderId="49" xfId="104" applyFont="1" applyFill="1" applyBorder="1" applyAlignment="1">
      <alignment horizontal="center" vertical="center"/>
    </xf>
    <xf numFmtId="164" fontId="58" fillId="0" borderId="27" xfId="105" applyNumberFormat="1" applyFont="1" applyFill="1" applyBorder="1" applyAlignment="1">
      <alignment horizontal="center" vertical="center"/>
    </xf>
  </cellXfs>
  <cellStyles count="114">
    <cellStyle name="20% - akcent 1 2" xfId="6"/>
    <cellStyle name="20% - akcent 1 3" xfId="7"/>
    <cellStyle name="20% - akcent 2 2" xfId="8"/>
    <cellStyle name="20% - akcent 2 3" xfId="9"/>
    <cellStyle name="20% - akcent 3 2" xfId="10"/>
    <cellStyle name="20% - akcent 3 3" xfId="11"/>
    <cellStyle name="20% - akcent 4 2" xfId="12"/>
    <cellStyle name="20% - akcent 4 3" xfId="13"/>
    <cellStyle name="20% - akcent 5 2" xfId="14"/>
    <cellStyle name="20% - akcent 5 3" xfId="15"/>
    <cellStyle name="20% - akcent 6 2" xfId="16"/>
    <cellStyle name="20% - akcent 6 3" xfId="17"/>
    <cellStyle name="40% - akcent 1 2" xfId="18"/>
    <cellStyle name="40% - akcent 1 3" xfId="19"/>
    <cellStyle name="40% - akcent 2 2" xfId="20"/>
    <cellStyle name="40% - akcent 2 3" xfId="21"/>
    <cellStyle name="40% - akcent 3 2" xfId="22"/>
    <cellStyle name="40% - akcent 3 3" xfId="23"/>
    <cellStyle name="40% - akcent 4 2" xfId="24"/>
    <cellStyle name="40% - akcent 4 3" xfId="25"/>
    <cellStyle name="40% - akcent 5 2" xfId="26"/>
    <cellStyle name="40% - akcent 5 3" xfId="27"/>
    <cellStyle name="40% - akcent 6 2" xfId="28"/>
    <cellStyle name="40% - akcent 6 3" xfId="29"/>
    <cellStyle name="60% - akcent 1 2" xfId="30"/>
    <cellStyle name="60% - akcent 1 3" xfId="31"/>
    <cellStyle name="60% - akcent 2 2" xfId="32"/>
    <cellStyle name="60% - akcent 2 3" xfId="33"/>
    <cellStyle name="60% - akcent 3 2" xfId="34"/>
    <cellStyle name="60% - akcent 3 3" xfId="35"/>
    <cellStyle name="60% - akcent 4 2" xfId="36"/>
    <cellStyle name="60% - akcent 4 3" xfId="37"/>
    <cellStyle name="60% - akcent 5 2" xfId="38"/>
    <cellStyle name="60% - akcent 5 3" xfId="39"/>
    <cellStyle name="60% - akcent 6 2" xfId="40"/>
    <cellStyle name="60% - akcent 6 3" xfId="41"/>
    <cellStyle name="Akcent 1 2" xfId="42"/>
    <cellStyle name="Akcent 1 3" xfId="43"/>
    <cellStyle name="Akcent 2 2" xfId="44"/>
    <cellStyle name="Akcent 2 3" xfId="45"/>
    <cellStyle name="Akcent 3 2" xfId="46"/>
    <cellStyle name="Akcent 3 3" xfId="47"/>
    <cellStyle name="Akcent 4 2" xfId="48"/>
    <cellStyle name="Akcent 4 3" xfId="49"/>
    <cellStyle name="Akcent 5 2" xfId="50"/>
    <cellStyle name="Akcent 5 3" xfId="51"/>
    <cellStyle name="Akcent 6 2" xfId="52"/>
    <cellStyle name="Akcent 6 3" xfId="53"/>
    <cellStyle name="Dane wejściowe 2" xfId="54"/>
    <cellStyle name="Dane wejściowe 3" xfId="55"/>
    <cellStyle name="Dane wyjściowe 2" xfId="56"/>
    <cellStyle name="Dane wyjściowe 3" xfId="57"/>
    <cellStyle name="Dobre 2" xfId="58"/>
    <cellStyle name="Dobre 3" xfId="59"/>
    <cellStyle name="Dziesiętny 2" xfId="106"/>
    <cellStyle name="Dziesiętny 2 2" xfId="105"/>
    <cellStyle name="Komórka połączona 2" xfId="60"/>
    <cellStyle name="Komórka połączona 3" xfId="61"/>
    <cellStyle name="Komórka zaznaczona 2" xfId="62"/>
    <cellStyle name="Komórka zaznaczona 3" xfId="63"/>
    <cellStyle name="Nagłówek 1 2" xfId="64"/>
    <cellStyle name="Nagłówek 1 3" xfId="65"/>
    <cellStyle name="Nagłówek 2 2" xfId="66"/>
    <cellStyle name="Nagłówek 2 3" xfId="67"/>
    <cellStyle name="Nagłówek 3 2" xfId="68"/>
    <cellStyle name="Nagłówek 3 3" xfId="69"/>
    <cellStyle name="Nagłówek 4 2" xfId="70"/>
    <cellStyle name="Nagłówek 4 3" xfId="71"/>
    <cellStyle name="Neutralne 2" xfId="72"/>
    <cellStyle name="Neutralne 3" xfId="73"/>
    <cellStyle name="Normalny" xfId="0" builtinId="0"/>
    <cellStyle name="Normalny 10" xfId="109"/>
    <cellStyle name="Normalny 11" xfId="110"/>
    <cellStyle name="Normalny 12" xfId="111"/>
    <cellStyle name="Normalny 13" xfId="112"/>
    <cellStyle name="Normalny 14" xfId="113"/>
    <cellStyle name="Normalny 2" xfId="1"/>
    <cellStyle name="Normalny 2 2" xfId="74"/>
    <cellStyle name="Normalny 2 2 2" xfId="104"/>
    <cellStyle name="Normalny 2 3" xfId="75"/>
    <cellStyle name="Normalny 2 4" xfId="76"/>
    <cellStyle name="Normalny 2 5" xfId="77"/>
    <cellStyle name="Normalny 2 6" xfId="78"/>
    <cellStyle name="Normalny 2 7" xfId="79"/>
    <cellStyle name="Normalny 3" xfId="80"/>
    <cellStyle name="Normalny 4" xfId="81"/>
    <cellStyle name="Normalny 5" xfId="82"/>
    <cellStyle name="Normalny 6" xfId="83"/>
    <cellStyle name="Normalny 6 2" xfId="2"/>
    <cellStyle name="Normalny 7" xfId="84"/>
    <cellStyle name="Normalny 7 2" xfId="85"/>
    <cellStyle name="Normalny 8" xfId="3"/>
    <cellStyle name="Normalny 8 2" xfId="107"/>
    <cellStyle name="Normalny 9" xfId="108"/>
    <cellStyle name="Obliczenia 2" xfId="86"/>
    <cellStyle name="Obliczenia 3" xfId="87"/>
    <cellStyle name="Procentowy 2" xfId="4"/>
    <cellStyle name="Procentowy 2 2" xfId="5"/>
    <cellStyle name="Procentowy 2 3" xfId="88"/>
    <cellStyle name="Procentowy 3" xfId="89"/>
    <cellStyle name="Procentowy 3 2" xfId="90"/>
    <cellStyle name="Procentowy 4" xfId="91"/>
    <cellStyle name="Procentowy 5" xfId="92"/>
    <cellStyle name="Suma 2" xfId="93"/>
    <cellStyle name="Suma 3" xfId="94"/>
    <cellStyle name="Tekst objaśnienia 2" xfId="95"/>
    <cellStyle name="Tekst objaśnienia 3" xfId="96"/>
    <cellStyle name="Tekst ostrzeżenia 2" xfId="97"/>
    <cellStyle name="Tekst ostrzeżenia 3" xfId="98"/>
    <cellStyle name="Tytuł 2" xfId="99"/>
    <cellStyle name="Uwaga 2" xfId="100"/>
    <cellStyle name="Uwaga 3" xfId="101"/>
    <cellStyle name="Złe 2" xfId="102"/>
    <cellStyle name="Złe 3" xfId="103"/>
  </cellStyles>
  <dxfs count="18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PF%20BESTIA%20autopoprawk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1_WPF_bazowy"/>
      <sheetName val="WPF_AnalizaWsk_ProjektowanieJST"/>
      <sheetName val="definicja"/>
      <sheetName val="rysunki"/>
      <sheetName val="DaneZrodlowe"/>
      <sheetName val="DaneZrodloweDoWsk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N1">
            <v>2014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AM242"/>
  <sheetViews>
    <sheetView zoomScaleSheetLayoutView="100" workbookViewId="0">
      <pane xSplit="4" ySplit="9" topLeftCell="H10" activePane="bottomRight" state="frozen"/>
      <selection activeCell="H158" sqref="H158"/>
      <selection pane="topRight" activeCell="H158" sqref="H158"/>
      <selection pane="bottomLeft" activeCell="H158" sqref="H158"/>
      <selection pane="bottomRight" activeCell="I2" sqref="I2"/>
    </sheetView>
  </sheetViews>
  <sheetFormatPr defaultRowHeight="14.25" outlineLevelRow="5" outlineLevelCol="1"/>
  <cols>
    <col min="1" max="1" width="4.85546875" style="264" hidden="1" customWidth="1" outlineLevel="1"/>
    <col min="2" max="2" width="7.5703125" style="278" customWidth="1" collapsed="1"/>
    <col min="3" max="3" width="24.85546875" style="280" hidden="1" customWidth="1"/>
    <col min="4" max="4" width="59.140625" style="278" customWidth="1"/>
    <col min="5" max="7" width="16" style="278" hidden="1" customWidth="1" outlineLevel="1"/>
    <col min="8" max="8" width="0.28515625" style="278" customWidth="1" outlineLevel="1"/>
    <col min="9" max="9" width="16.85546875" style="278" customWidth="1"/>
    <col min="10" max="10" width="14.7109375" style="278" customWidth="1"/>
    <col min="11" max="11" width="14.5703125" style="278" customWidth="1"/>
    <col min="12" max="12" width="15.5703125" style="278" customWidth="1"/>
    <col min="13" max="13" width="14.42578125" style="278" customWidth="1"/>
    <col min="14" max="14" width="14.140625" style="278" customWidth="1"/>
    <col min="15" max="15" width="16" style="278" customWidth="1"/>
    <col min="16" max="16" width="16.28515625" style="278" customWidth="1"/>
    <col min="17" max="17" width="15.140625" style="278" customWidth="1"/>
    <col min="18" max="18" width="15.42578125" style="278" customWidth="1"/>
    <col min="19" max="38" width="16" style="278" customWidth="1"/>
    <col min="39" max="256" width="9.140625" style="270"/>
    <col min="257" max="257" width="0" style="270" hidden="1" customWidth="1"/>
    <col min="258" max="258" width="7.5703125" style="270" customWidth="1"/>
    <col min="259" max="259" width="0" style="270" hidden="1" customWidth="1"/>
    <col min="260" max="260" width="80.7109375" style="270" customWidth="1"/>
    <col min="261" max="294" width="16" style="270" customWidth="1"/>
    <col min="295" max="512" width="9.140625" style="270"/>
    <col min="513" max="513" width="0" style="270" hidden="1" customWidth="1"/>
    <col min="514" max="514" width="7.5703125" style="270" customWidth="1"/>
    <col min="515" max="515" width="0" style="270" hidden="1" customWidth="1"/>
    <col min="516" max="516" width="80.7109375" style="270" customWidth="1"/>
    <col min="517" max="550" width="16" style="270" customWidth="1"/>
    <col min="551" max="768" width="9.140625" style="270"/>
    <col min="769" max="769" width="0" style="270" hidden="1" customWidth="1"/>
    <col min="770" max="770" width="7.5703125" style="270" customWidth="1"/>
    <col min="771" max="771" width="0" style="270" hidden="1" customWidth="1"/>
    <col min="772" max="772" width="80.7109375" style="270" customWidth="1"/>
    <col min="773" max="806" width="16" style="270" customWidth="1"/>
    <col min="807" max="1024" width="9.140625" style="270"/>
    <col min="1025" max="1025" width="0" style="270" hidden="1" customWidth="1"/>
    <col min="1026" max="1026" width="7.5703125" style="270" customWidth="1"/>
    <col min="1027" max="1027" width="0" style="270" hidden="1" customWidth="1"/>
    <col min="1028" max="1028" width="80.7109375" style="270" customWidth="1"/>
    <col min="1029" max="1062" width="16" style="270" customWidth="1"/>
    <col min="1063" max="1280" width="9.140625" style="270"/>
    <col min="1281" max="1281" width="0" style="270" hidden="1" customWidth="1"/>
    <col min="1282" max="1282" width="7.5703125" style="270" customWidth="1"/>
    <col min="1283" max="1283" width="0" style="270" hidden="1" customWidth="1"/>
    <col min="1284" max="1284" width="80.7109375" style="270" customWidth="1"/>
    <col min="1285" max="1318" width="16" style="270" customWidth="1"/>
    <col min="1319" max="1536" width="9.140625" style="270"/>
    <col min="1537" max="1537" width="0" style="270" hidden="1" customWidth="1"/>
    <col min="1538" max="1538" width="7.5703125" style="270" customWidth="1"/>
    <col min="1539" max="1539" width="0" style="270" hidden="1" customWidth="1"/>
    <col min="1540" max="1540" width="80.7109375" style="270" customWidth="1"/>
    <col min="1541" max="1574" width="16" style="270" customWidth="1"/>
    <col min="1575" max="1792" width="9.140625" style="270"/>
    <col min="1793" max="1793" width="0" style="270" hidden="1" customWidth="1"/>
    <col min="1794" max="1794" width="7.5703125" style="270" customWidth="1"/>
    <col min="1795" max="1795" width="0" style="270" hidden="1" customWidth="1"/>
    <col min="1796" max="1796" width="80.7109375" style="270" customWidth="1"/>
    <col min="1797" max="1830" width="16" style="270" customWidth="1"/>
    <col min="1831" max="2048" width="9.140625" style="270"/>
    <col min="2049" max="2049" width="0" style="270" hidden="1" customWidth="1"/>
    <col min="2050" max="2050" width="7.5703125" style="270" customWidth="1"/>
    <col min="2051" max="2051" width="0" style="270" hidden="1" customWidth="1"/>
    <col min="2052" max="2052" width="80.7109375" style="270" customWidth="1"/>
    <col min="2053" max="2086" width="16" style="270" customWidth="1"/>
    <col min="2087" max="2304" width="9.140625" style="270"/>
    <col min="2305" max="2305" width="0" style="270" hidden="1" customWidth="1"/>
    <col min="2306" max="2306" width="7.5703125" style="270" customWidth="1"/>
    <col min="2307" max="2307" width="0" style="270" hidden="1" customWidth="1"/>
    <col min="2308" max="2308" width="80.7109375" style="270" customWidth="1"/>
    <col min="2309" max="2342" width="16" style="270" customWidth="1"/>
    <col min="2343" max="2560" width="9.140625" style="270"/>
    <col min="2561" max="2561" width="0" style="270" hidden="1" customWidth="1"/>
    <col min="2562" max="2562" width="7.5703125" style="270" customWidth="1"/>
    <col min="2563" max="2563" width="0" style="270" hidden="1" customWidth="1"/>
    <col min="2564" max="2564" width="80.7109375" style="270" customWidth="1"/>
    <col min="2565" max="2598" width="16" style="270" customWidth="1"/>
    <col min="2599" max="2816" width="9.140625" style="270"/>
    <col min="2817" max="2817" width="0" style="270" hidden="1" customWidth="1"/>
    <col min="2818" max="2818" width="7.5703125" style="270" customWidth="1"/>
    <col min="2819" max="2819" width="0" style="270" hidden="1" customWidth="1"/>
    <col min="2820" max="2820" width="80.7109375" style="270" customWidth="1"/>
    <col min="2821" max="2854" width="16" style="270" customWidth="1"/>
    <col min="2855" max="3072" width="9.140625" style="270"/>
    <col min="3073" max="3073" width="0" style="270" hidden="1" customWidth="1"/>
    <col min="3074" max="3074" width="7.5703125" style="270" customWidth="1"/>
    <col min="3075" max="3075" width="0" style="270" hidden="1" customWidth="1"/>
    <col min="3076" max="3076" width="80.7109375" style="270" customWidth="1"/>
    <col min="3077" max="3110" width="16" style="270" customWidth="1"/>
    <col min="3111" max="3328" width="9.140625" style="270"/>
    <col min="3329" max="3329" width="0" style="270" hidden="1" customWidth="1"/>
    <col min="3330" max="3330" width="7.5703125" style="270" customWidth="1"/>
    <col min="3331" max="3331" width="0" style="270" hidden="1" customWidth="1"/>
    <col min="3332" max="3332" width="80.7109375" style="270" customWidth="1"/>
    <col min="3333" max="3366" width="16" style="270" customWidth="1"/>
    <col min="3367" max="3584" width="9.140625" style="270"/>
    <col min="3585" max="3585" width="0" style="270" hidden="1" customWidth="1"/>
    <col min="3586" max="3586" width="7.5703125" style="270" customWidth="1"/>
    <col min="3587" max="3587" width="0" style="270" hidden="1" customWidth="1"/>
    <col min="3588" max="3588" width="80.7109375" style="270" customWidth="1"/>
    <col min="3589" max="3622" width="16" style="270" customWidth="1"/>
    <col min="3623" max="3840" width="9.140625" style="270"/>
    <col min="3841" max="3841" width="0" style="270" hidden="1" customWidth="1"/>
    <col min="3842" max="3842" width="7.5703125" style="270" customWidth="1"/>
    <col min="3843" max="3843" width="0" style="270" hidden="1" customWidth="1"/>
    <col min="3844" max="3844" width="80.7109375" style="270" customWidth="1"/>
    <col min="3845" max="3878" width="16" style="270" customWidth="1"/>
    <col min="3879" max="4096" width="9.140625" style="270"/>
    <col min="4097" max="4097" width="0" style="270" hidden="1" customWidth="1"/>
    <col min="4098" max="4098" width="7.5703125" style="270" customWidth="1"/>
    <col min="4099" max="4099" width="0" style="270" hidden="1" customWidth="1"/>
    <col min="4100" max="4100" width="80.7109375" style="270" customWidth="1"/>
    <col min="4101" max="4134" width="16" style="270" customWidth="1"/>
    <col min="4135" max="4352" width="9.140625" style="270"/>
    <col min="4353" max="4353" width="0" style="270" hidden="1" customWidth="1"/>
    <col min="4354" max="4354" width="7.5703125" style="270" customWidth="1"/>
    <col min="4355" max="4355" width="0" style="270" hidden="1" customWidth="1"/>
    <col min="4356" max="4356" width="80.7109375" style="270" customWidth="1"/>
    <col min="4357" max="4390" width="16" style="270" customWidth="1"/>
    <col min="4391" max="4608" width="9.140625" style="270"/>
    <col min="4609" max="4609" width="0" style="270" hidden="1" customWidth="1"/>
    <col min="4610" max="4610" width="7.5703125" style="270" customWidth="1"/>
    <col min="4611" max="4611" width="0" style="270" hidden="1" customWidth="1"/>
    <col min="4612" max="4612" width="80.7109375" style="270" customWidth="1"/>
    <col min="4613" max="4646" width="16" style="270" customWidth="1"/>
    <col min="4647" max="4864" width="9.140625" style="270"/>
    <col min="4865" max="4865" width="0" style="270" hidden="1" customWidth="1"/>
    <col min="4866" max="4866" width="7.5703125" style="270" customWidth="1"/>
    <col min="4867" max="4867" width="0" style="270" hidden="1" customWidth="1"/>
    <col min="4868" max="4868" width="80.7109375" style="270" customWidth="1"/>
    <col min="4869" max="4902" width="16" style="270" customWidth="1"/>
    <col min="4903" max="5120" width="9.140625" style="270"/>
    <col min="5121" max="5121" width="0" style="270" hidden="1" customWidth="1"/>
    <col min="5122" max="5122" width="7.5703125" style="270" customWidth="1"/>
    <col min="5123" max="5123" width="0" style="270" hidden="1" customWidth="1"/>
    <col min="5124" max="5124" width="80.7109375" style="270" customWidth="1"/>
    <col min="5125" max="5158" width="16" style="270" customWidth="1"/>
    <col min="5159" max="5376" width="9.140625" style="270"/>
    <col min="5377" max="5377" width="0" style="270" hidden="1" customWidth="1"/>
    <col min="5378" max="5378" width="7.5703125" style="270" customWidth="1"/>
    <col min="5379" max="5379" width="0" style="270" hidden="1" customWidth="1"/>
    <col min="5380" max="5380" width="80.7109375" style="270" customWidth="1"/>
    <col min="5381" max="5414" width="16" style="270" customWidth="1"/>
    <col min="5415" max="5632" width="9.140625" style="270"/>
    <col min="5633" max="5633" width="0" style="270" hidden="1" customWidth="1"/>
    <col min="5634" max="5634" width="7.5703125" style="270" customWidth="1"/>
    <col min="5635" max="5635" width="0" style="270" hidden="1" customWidth="1"/>
    <col min="5636" max="5636" width="80.7109375" style="270" customWidth="1"/>
    <col min="5637" max="5670" width="16" style="270" customWidth="1"/>
    <col min="5671" max="5888" width="9.140625" style="270"/>
    <col min="5889" max="5889" width="0" style="270" hidden="1" customWidth="1"/>
    <col min="5890" max="5890" width="7.5703125" style="270" customWidth="1"/>
    <col min="5891" max="5891" width="0" style="270" hidden="1" customWidth="1"/>
    <col min="5892" max="5892" width="80.7109375" style="270" customWidth="1"/>
    <col min="5893" max="5926" width="16" style="270" customWidth="1"/>
    <col min="5927" max="6144" width="9.140625" style="270"/>
    <col min="6145" max="6145" width="0" style="270" hidden="1" customWidth="1"/>
    <col min="6146" max="6146" width="7.5703125" style="270" customWidth="1"/>
    <col min="6147" max="6147" width="0" style="270" hidden="1" customWidth="1"/>
    <col min="6148" max="6148" width="80.7109375" style="270" customWidth="1"/>
    <col min="6149" max="6182" width="16" style="270" customWidth="1"/>
    <col min="6183" max="6400" width="9.140625" style="270"/>
    <col min="6401" max="6401" width="0" style="270" hidden="1" customWidth="1"/>
    <col min="6402" max="6402" width="7.5703125" style="270" customWidth="1"/>
    <col min="6403" max="6403" width="0" style="270" hidden="1" customWidth="1"/>
    <col min="6404" max="6404" width="80.7109375" style="270" customWidth="1"/>
    <col min="6405" max="6438" width="16" style="270" customWidth="1"/>
    <col min="6439" max="6656" width="9.140625" style="270"/>
    <col min="6657" max="6657" width="0" style="270" hidden="1" customWidth="1"/>
    <col min="6658" max="6658" width="7.5703125" style="270" customWidth="1"/>
    <col min="6659" max="6659" width="0" style="270" hidden="1" customWidth="1"/>
    <col min="6660" max="6660" width="80.7109375" style="270" customWidth="1"/>
    <col min="6661" max="6694" width="16" style="270" customWidth="1"/>
    <col min="6695" max="6912" width="9.140625" style="270"/>
    <col min="6913" max="6913" width="0" style="270" hidden="1" customWidth="1"/>
    <col min="6914" max="6914" width="7.5703125" style="270" customWidth="1"/>
    <col min="6915" max="6915" width="0" style="270" hidden="1" customWidth="1"/>
    <col min="6916" max="6916" width="80.7109375" style="270" customWidth="1"/>
    <col min="6917" max="6950" width="16" style="270" customWidth="1"/>
    <col min="6951" max="7168" width="9.140625" style="270"/>
    <col min="7169" max="7169" width="0" style="270" hidden="1" customWidth="1"/>
    <col min="7170" max="7170" width="7.5703125" style="270" customWidth="1"/>
    <col min="7171" max="7171" width="0" style="270" hidden="1" customWidth="1"/>
    <col min="7172" max="7172" width="80.7109375" style="270" customWidth="1"/>
    <col min="7173" max="7206" width="16" style="270" customWidth="1"/>
    <col min="7207" max="7424" width="9.140625" style="270"/>
    <col min="7425" max="7425" width="0" style="270" hidden="1" customWidth="1"/>
    <col min="7426" max="7426" width="7.5703125" style="270" customWidth="1"/>
    <col min="7427" max="7427" width="0" style="270" hidden="1" customWidth="1"/>
    <col min="7428" max="7428" width="80.7109375" style="270" customWidth="1"/>
    <col min="7429" max="7462" width="16" style="270" customWidth="1"/>
    <col min="7463" max="7680" width="9.140625" style="270"/>
    <col min="7681" max="7681" width="0" style="270" hidden="1" customWidth="1"/>
    <col min="7682" max="7682" width="7.5703125" style="270" customWidth="1"/>
    <col min="7683" max="7683" width="0" style="270" hidden="1" customWidth="1"/>
    <col min="7684" max="7684" width="80.7109375" style="270" customWidth="1"/>
    <col min="7685" max="7718" width="16" style="270" customWidth="1"/>
    <col min="7719" max="7936" width="9.140625" style="270"/>
    <col min="7937" max="7937" width="0" style="270" hidden="1" customWidth="1"/>
    <col min="7938" max="7938" width="7.5703125" style="270" customWidth="1"/>
    <col min="7939" max="7939" width="0" style="270" hidden="1" customWidth="1"/>
    <col min="7940" max="7940" width="80.7109375" style="270" customWidth="1"/>
    <col min="7941" max="7974" width="16" style="270" customWidth="1"/>
    <col min="7975" max="8192" width="9.140625" style="270"/>
    <col min="8193" max="8193" width="0" style="270" hidden="1" customWidth="1"/>
    <col min="8194" max="8194" width="7.5703125" style="270" customWidth="1"/>
    <col min="8195" max="8195" width="0" style="270" hidden="1" customWidth="1"/>
    <col min="8196" max="8196" width="80.7109375" style="270" customWidth="1"/>
    <col min="8197" max="8230" width="16" style="270" customWidth="1"/>
    <col min="8231" max="8448" width="9.140625" style="270"/>
    <col min="8449" max="8449" width="0" style="270" hidden="1" customWidth="1"/>
    <col min="8450" max="8450" width="7.5703125" style="270" customWidth="1"/>
    <col min="8451" max="8451" width="0" style="270" hidden="1" customWidth="1"/>
    <col min="8452" max="8452" width="80.7109375" style="270" customWidth="1"/>
    <col min="8453" max="8486" width="16" style="270" customWidth="1"/>
    <col min="8487" max="8704" width="9.140625" style="270"/>
    <col min="8705" max="8705" width="0" style="270" hidden="1" customWidth="1"/>
    <col min="8706" max="8706" width="7.5703125" style="270" customWidth="1"/>
    <col min="8707" max="8707" width="0" style="270" hidden="1" customWidth="1"/>
    <col min="8708" max="8708" width="80.7109375" style="270" customWidth="1"/>
    <col min="8709" max="8742" width="16" style="270" customWidth="1"/>
    <col min="8743" max="8960" width="9.140625" style="270"/>
    <col min="8961" max="8961" width="0" style="270" hidden="1" customWidth="1"/>
    <col min="8962" max="8962" width="7.5703125" style="270" customWidth="1"/>
    <col min="8963" max="8963" width="0" style="270" hidden="1" customWidth="1"/>
    <col min="8964" max="8964" width="80.7109375" style="270" customWidth="1"/>
    <col min="8965" max="8998" width="16" style="270" customWidth="1"/>
    <col min="8999" max="9216" width="9.140625" style="270"/>
    <col min="9217" max="9217" width="0" style="270" hidden="1" customWidth="1"/>
    <col min="9218" max="9218" width="7.5703125" style="270" customWidth="1"/>
    <col min="9219" max="9219" width="0" style="270" hidden="1" customWidth="1"/>
    <col min="9220" max="9220" width="80.7109375" style="270" customWidth="1"/>
    <col min="9221" max="9254" width="16" style="270" customWidth="1"/>
    <col min="9255" max="9472" width="9.140625" style="270"/>
    <col min="9473" max="9473" width="0" style="270" hidden="1" customWidth="1"/>
    <col min="9474" max="9474" width="7.5703125" style="270" customWidth="1"/>
    <col min="9475" max="9475" width="0" style="270" hidden="1" customWidth="1"/>
    <col min="9476" max="9476" width="80.7109375" style="270" customWidth="1"/>
    <col min="9477" max="9510" width="16" style="270" customWidth="1"/>
    <col min="9511" max="9728" width="9.140625" style="270"/>
    <col min="9729" max="9729" width="0" style="270" hidden="1" customWidth="1"/>
    <col min="9730" max="9730" width="7.5703125" style="270" customWidth="1"/>
    <col min="9731" max="9731" width="0" style="270" hidden="1" customWidth="1"/>
    <col min="9732" max="9732" width="80.7109375" style="270" customWidth="1"/>
    <col min="9733" max="9766" width="16" style="270" customWidth="1"/>
    <col min="9767" max="9984" width="9.140625" style="270"/>
    <col min="9985" max="9985" width="0" style="270" hidden="1" customWidth="1"/>
    <col min="9986" max="9986" width="7.5703125" style="270" customWidth="1"/>
    <col min="9987" max="9987" width="0" style="270" hidden="1" customWidth="1"/>
    <col min="9988" max="9988" width="80.7109375" style="270" customWidth="1"/>
    <col min="9989" max="10022" width="16" style="270" customWidth="1"/>
    <col min="10023" max="10240" width="9.140625" style="270"/>
    <col min="10241" max="10241" width="0" style="270" hidden="1" customWidth="1"/>
    <col min="10242" max="10242" width="7.5703125" style="270" customWidth="1"/>
    <col min="10243" max="10243" width="0" style="270" hidden="1" customWidth="1"/>
    <col min="10244" max="10244" width="80.7109375" style="270" customWidth="1"/>
    <col min="10245" max="10278" width="16" style="270" customWidth="1"/>
    <col min="10279" max="10496" width="9.140625" style="270"/>
    <col min="10497" max="10497" width="0" style="270" hidden="1" customWidth="1"/>
    <col min="10498" max="10498" width="7.5703125" style="270" customWidth="1"/>
    <col min="10499" max="10499" width="0" style="270" hidden="1" customWidth="1"/>
    <col min="10500" max="10500" width="80.7109375" style="270" customWidth="1"/>
    <col min="10501" max="10534" width="16" style="270" customWidth="1"/>
    <col min="10535" max="10752" width="9.140625" style="270"/>
    <col min="10753" max="10753" width="0" style="270" hidden="1" customWidth="1"/>
    <col min="10754" max="10754" width="7.5703125" style="270" customWidth="1"/>
    <col min="10755" max="10755" width="0" style="270" hidden="1" customWidth="1"/>
    <col min="10756" max="10756" width="80.7109375" style="270" customWidth="1"/>
    <col min="10757" max="10790" width="16" style="270" customWidth="1"/>
    <col min="10791" max="11008" width="9.140625" style="270"/>
    <col min="11009" max="11009" width="0" style="270" hidden="1" customWidth="1"/>
    <col min="11010" max="11010" width="7.5703125" style="270" customWidth="1"/>
    <col min="11011" max="11011" width="0" style="270" hidden="1" customWidth="1"/>
    <col min="11012" max="11012" width="80.7109375" style="270" customWidth="1"/>
    <col min="11013" max="11046" width="16" style="270" customWidth="1"/>
    <col min="11047" max="11264" width="9.140625" style="270"/>
    <col min="11265" max="11265" width="0" style="270" hidden="1" customWidth="1"/>
    <col min="11266" max="11266" width="7.5703125" style="270" customWidth="1"/>
    <col min="11267" max="11267" width="0" style="270" hidden="1" customWidth="1"/>
    <col min="11268" max="11268" width="80.7109375" style="270" customWidth="1"/>
    <col min="11269" max="11302" width="16" style="270" customWidth="1"/>
    <col min="11303" max="11520" width="9.140625" style="270"/>
    <col min="11521" max="11521" width="0" style="270" hidden="1" customWidth="1"/>
    <col min="11522" max="11522" width="7.5703125" style="270" customWidth="1"/>
    <col min="11523" max="11523" width="0" style="270" hidden="1" customWidth="1"/>
    <col min="11524" max="11524" width="80.7109375" style="270" customWidth="1"/>
    <col min="11525" max="11558" width="16" style="270" customWidth="1"/>
    <col min="11559" max="11776" width="9.140625" style="270"/>
    <col min="11777" max="11777" width="0" style="270" hidden="1" customWidth="1"/>
    <col min="11778" max="11778" width="7.5703125" style="270" customWidth="1"/>
    <col min="11779" max="11779" width="0" style="270" hidden="1" customWidth="1"/>
    <col min="11780" max="11780" width="80.7109375" style="270" customWidth="1"/>
    <col min="11781" max="11814" width="16" style="270" customWidth="1"/>
    <col min="11815" max="12032" width="9.140625" style="270"/>
    <col min="12033" max="12033" width="0" style="270" hidden="1" customWidth="1"/>
    <col min="12034" max="12034" width="7.5703125" style="270" customWidth="1"/>
    <col min="12035" max="12035" width="0" style="270" hidden="1" customWidth="1"/>
    <col min="12036" max="12036" width="80.7109375" style="270" customWidth="1"/>
    <col min="12037" max="12070" width="16" style="270" customWidth="1"/>
    <col min="12071" max="12288" width="9.140625" style="270"/>
    <col min="12289" max="12289" width="0" style="270" hidden="1" customWidth="1"/>
    <col min="12290" max="12290" width="7.5703125" style="270" customWidth="1"/>
    <col min="12291" max="12291" width="0" style="270" hidden="1" customWidth="1"/>
    <col min="12292" max="12292" width="80.7109375" style="270" customWidth="1"/>
    <col min="12293" max="12326" width="16" style="270" customWidth="1"/>
    <col min="12327" max="12544" width="9.140625" style="270"/>
    <col min="12545" max="12545" width="0" style="270" hidden="1" customWidth="1"/>
    <col min="12546" max="12546" width="7.5703125" style="270" customWidth="1"/>
    <col min="12547" max="12547" width="0" style="270" hidden="1" customWidth="1"/>
    <col min="12548" max="12548" width="80.7109375" style="270" customWidth="1"/>
    <col min="12549" max="12582" width="16" style="270" customWidth="1"/>
    <col min="12583" max="12800" width="9.140625" style="270"/>
    <col min="12801" max="12801" width="0" style="270" hidden="1" customWidth="1"/>
    <col min="12802" max="12802" width="7.5703125" style="270" customWidth="1"/>
    <col min="12803" max="12803" width="0" style="270" hidden="1" customWidth="1"/>
    <col min="12804" max="12804" width="80.7109375" style="270" customWidth="1"/>
    <col min="12805" max="12838" width="16" style="270" customWidth="1"/>
    <col min="12839" max="13056" width="9.140625" style="270"/>
    <col min="13057" max="13057" width="0" style="270" hidden="1" customWidth="1"/>
    <col min="13058" max="13058" width="7.5703125" style="270" customWidth="1"/>
    <col min="13059" max="13059" width="0" style="270" hidden="1" customWidth="1"/>
    <col min="13060" max="13060" width="80.7109375" style="270" customWidth="1"/>
    <col min="13061" max="13094" width="16" style="270" customWidth="1"/>
    <col min="13095" max="13312" width="9.140625" style="270"/>
    <col min="13313" max="13313" width="0" style="270" hidden="1" customWidth="1"/>
    <col min="13314" max="13314" width="7.5703125" style="270" customWidth="1"/>
    <col min="13315" max="13315" width="0" style="270" hidden="1" customWidth="1"/>
    <col min="13316" max="13316" width="80.7109375" style="270" customWidth="1"/>
    <col min="13317" max="13350" width="16" style="270" customWidth="1"/>
    <col min="13351" max="13568" width="9.140625" style="270"/>
    <col min="13569" max="13569" width="0" style="270" hidden="1" customWidth="1"/>
    <col min="13570" max="13570" width="7.5703125" style="270" customWidth="1"/>
    <col min="13571" max="13571" width="0" style="270" hidden="1" customWidth="1"/>
    <col min="13572" max="13572" width="80.7109375" style="270" customWidth="1"/>
    <col min="13573" max="13606" width="16" style="270" customWidth="1"/>
    <col min="13607" max="13824" width="9.140625" style="270"/>
    <col min="13825" max="13825" width="0" style="270" hidden="1" customWidth="1"/>
    <col min="13826" max="13826" width="7.5703125" style="270" customWidth="1"/>
    <col min="13827" max="13827" width="0" style="270" hidden="1" customWidth="1"/>
    <col min="13828" max="13828" width="80.7109375" style="270" customWidth="1"/>
    <col min="13829" max="13862" width="16" style="270" customWidth="1"/>
    <col min="13863" max="14080" width="9.140625" style="270"/>
    <col min="14081" max="14081" width="0" style="270" hidden="1" customWidth="1"/>
    <col min="14082" max="14082" width="7.5703125" style="270" customWidth="1"/>
    <col min="14083" max="14083" width="0" style="270" hidden="1" customWidth="1"/>
    <col min="14084" max="14084" width="80.7109375" style="270" customWidth="1"/>
    <col min="14085" max="14118" width="16" style="270" customWidth="1"/>
    <col min="14119" max="14336" width="9.140625" style="270"/>
    <col min="14337" max="14337" width="0" style="270" hidden="1" customWidth="1"/>
    <col min="14338" max="14338" width="7.5703125" style="270" customWidth="1"/>
    <col min="14339" max="14339" width="0" style="270" hidden="1" customWidth="1"/>
    <col min="14340" max="14340" width="80.7109375" style="270" customWidth="1"/>
    <col min="14341" max="14374" width="16" style="270" customWidth="1"/>
    <col min="14375" max="14592" width="9.140625" style="270"/>
    <col min="14593" max="14593" width="0" style="270" hidden="1" customWidth="1"/>
    <col min="14594" max="14594" width="7.5703125" style="270" customWidth="1"/>
    <col min="14595" max="14595" width="0" style="270" hidden="1" customWidth="1"/>
    <col min="14596" max="14596" width="80.7109375" style="270" customWidth="1"/>
    <col min="14597" max="14630" width="16" style="270" customWidth="1"/>
    <col min="14631" max="14848" width="9.140625" style="270"/>
    <col min="14849" max="14849" width="0" style="270" hidden="1" customWidth="1"/>
    <col min="14850" max="14850" width="7.5703125" style="270" customWidth="1"/>
    <col min="14851" max="14851" width="0" style="270" hidden="1" customWidth="1"/>
    <col min="14852" max="14852" width="80.7109375" style="270" customWidth="1"/>
    <col min="14853" max="14886" width="16" style="270" customWidth="1"/>
    <col min="14887" max="15104" width="9.140625" style="270"/>
    <col min="15105" max="15105" width="0" style="270" hidden="1" customWidth="1"/>
    <col min="15106" max="15106" width="7.5703125" style="270" customWidth="1"/>
    <col min="15107" max="15107" width="0" style="270" hidden="1" customWidth="1"/>
    <col min="15108" max="15108" width="80.7109375" style="270" customWidth="1"/>
    <col min="15109" max="15142" width="16" style="270" customWidth="1"/>
    <col min="15143" max="15360" width="9.140625" style="270"/>
    <col min="15361" max="15361" width="0" style="270" hidden="1" customWidth="1"/>
    <col min="15362" max="15362" width="7.5703125" style="270" customWidth="1"/>
    <col min="15363" max="15363" width="0" style="270" hidden="1" customWidth="1"/>
    <col min="15364" max="15364" width="80.7109375" style="270" customWidth="1"/>
    <col min="15365" max="15398" width="16" style="270" customWidth="1"/>
    <col min="15399" max="15616" width="9.140625" style="270"/>
    <col min="15617" max="15617" width="0" style="270" hidden="1" customWidth="1"/>
    <col min="15618" max="15618" width="7.5703125" style="270" customWidth="1"/>
    <col min="15619" max="15619" width="0" style="270" hidden="1" customWidth="1"/>
    <col min="15620" max="15620" width="80.7109375" style="270" customWidth="1"/>
    <col min="15621" max="15654" width="16" style="270" customWidth="1"/>
    <col min="15655" max="15872" width="9.140625" style="270"/>
    <col min="15873" max="15873" width="0" style="270" hidden="1" customWidth="1"/>
    <col min="15874" max="15874" width="7.5703125" style="270" customWidth="1"/>
    <col min="15875" max="15875" width="0" style="270" hidden="1" customWidth="1"/>
    <col min="15876" max="15876" width="80.7109375" style="270" customWidth="1"/>
    <col min="15877" max="15910" width="16" style="270" customWidth="1"/>
    <col min="15911" max="16128" width="9.140625" style="270"/>
    <col min="16129" max="16129" width="0" style="270" hidden="1" customWidth="1"/>
    <col min="16130" max="16130" width="7.5703125" style="270" customWidth="1"/>
    <col min="16131" max="16131" width="0" style="270" hidden="1" customWidth="1"/>
    <col min="16132" max="16132" width="80.7109375" style="270" customWidth="1"/>
    <col min="16133" max="16166" width="16" style="270" customWidth="1"/>
    <col min="16167" max="16384" width="9.140625" style="270"/>
  </cols>
  <sheetData>
    <row r="1" spans="1:39">
      <c r="B1" s="265"/>
      <c r="C1" s="266"/>
      <c r="D1" s="267"/>
      <c r="E1" s="268"/>
      <c r="F1" s="268"/>
      <c r="G1" s="268"/>
      <c r="H1" s="268"/>
      <c r="I1" s="269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7"/>
    </row>
    <row r="2" spans="1:39" ht="15">
      <c r="B2" s="271"/>
      <c r="C2" s="272"/>
      <c r="D2" s="273"/>
      <c r="E2" s="268"/>
      <c r="F2" s="268"/>
      <c r="G2" s="268"/>
      <c r="H2" s="268"/>
      <c r="I2" s="268"/>
      <c r="J2" s="268"/>
      <c r="K2" s="268"/>
      <c r="L2" s="482" t="s">
        <v>618</v>
      </c>
      <c r="M2" s="482"/>
      <c r="N2" s="482"/>
      <c r="O2" s="482"/>
      <c r="P2" s="482"/>
      <c r="Q2" s="482"/>
      <c r="R2" s="482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7"/>
    </row>
    <row r="3" spans="1:39" ht="15">
      <c r="B3" s="271"/>
      <c r="C3" s="274"/>
      <c r="D3" s="267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7"/>
    </row>
    <row r="4" spans="1:39">
      <c r="B4" s="275"/>
      <c r="C4" s="276"/>
      <c r="D4" s="277"/>
      <c r="E4" s="268"/>
      <c r="F4" s="268"/>
      <c r="G4" s="268"/>
      <c r="H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7"/>
    </row>
    <row r="5" spans="1:39">
      <c r="B5" s="279"/>
      <c r="D5" s="281"/>
      <c r="E5" s="282"/>
      <c r="F5" s="283"/>
      <c r="G5" s="284"/>
      <c r="H5" s="282"/>
      <c r="K5" s="282"/>
      <c r="L5" s="268"/>
      <c r="M5" s="282"/>
      <c r="N5" s="285"/>
      <c r="O5" s="285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7"/>
    </row>
    <row r="6" spans="1:39">
      <c r="B6" s="481" t="s">
        <v>617</v>
      </c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7"/>
    </row>
    <row r="7" spans="1:39">
      <c r="E7" s="286"/>
      <c r="F7" s="286"/>
      <c r="G7" s="286"/>
      <c r="H7" s="286"/>
      <c r="K7" s="282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7"/>
    </row>
    <row r="8" spans="1:39" ht="13.5" customHeight="1">
      <c r="B8" s="268"/>
      <c r="C8" s="276"/>
      <c r="D8" s="282"/>
      <c r="E8" s="480" t="s">
        <v>199</v>
      </c>
      <c r="F8" s="480"/>
      <c r="G8" s="287" t="s">
        <v>200</v>
      </c>
      <c r="H8" s="287" t="s">
        <v>199</v>
      </c>
      <c r="I8" s="288" t="str">
        <f>""</f>
        <v/>
      </c>
      <c r="J8" s="289"/>
      <c r="K8" s="289"/>
      <c r="L8" s="289"/>
      <c r="M8" s="289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7"/>
    </row>
    <row r="9" spans="1:39">
      <c r="A9" s="290" t="s">
        <v>201</v>
      </c>
      <c r="B9" s="177" t="s">
        <v>0</v>
      </c>
      <c r="C9" s="178" t="s">
        <v>202</v>
      </c>
      <c r="D9" s="179" t="s">
        <v>203</v>
      </c>
      <c r="E9" s="180">
        <f>+F9-1</f>
        <v>2011</v>
      </c>
      <c r="F9" s="181">
        <f>+G9-1</f>
        <v>2012</v>
      </c>
      <c r="G9" s="181">
        <f>+H9</f>
        <v>2013</v>
      </c>
      <c r="H9" s="182">
        <f>+I9-1</f>
        <v>2013</v>
      </c>
      <c r="I9" s="183">
        <f>+[1]DaneZrodlowe!$N$1</f>
        <v>2014</v>
      </c>
      <c r="J9" s="184">
        <f>+I9+1</f>
        <v>2015</v>
      </c>
      <c r="K9" s="184">
        <f t="shared" ref="K9:AL9" si="0">+J9+1</f>
        <v>2016</v>
      </c>
      <c r="L9" s="184">
        <f t="shared" si="0"/>
        <v>2017</v>
      </c>
      <c r="M9" s="184">
        <f t="shared" si="0"/>
        <v>2018</v>
      </c>
      <c r="N9" s="184">
        <f t="shared" si="0"/>
        <v>2019</v>
      </c>
      <c r="O9" s="184">
        <f t="shared" si="0"/>
        <v>2020</v>
      </c>
      <c r="P9" s="184">
        <f t="shared" si="0"/>
        <v>2021</v>
      </c>
      <c r="Q9" s="184">
        <f t="shared" si="0"/>
        <v>2022</v>
      </c>
      <c r="R9" s="184">
        <f t="shared" si="0"/>
        <v>2023</v>
      </c>
      <c r="S9" s="184">
        <f t="shared" si="0"/>
        <v>2024</v>
      </c>
      <c r="T9" s="184">
        <f t="shared" si="0"/>
        <v>2025</v>
      </c>
      <c r="U9" s="184">
        <f t="shared" si="0"/>
        <v>2026</v>
      </c>
      <c r="V9" s="184">
        <f t="shared" si="0"/>
        <v>2027</v>
      </c>
      <c r="W9" s="184">
        <f t="shared" si="0"/>
        <v>2028</v>
      </c>
      <c r="X9" s="184">
        <f t="shared" si="0"/>
        <v>2029</v>
      </c>
      <c r="Y9" s="184">
        <f t="shared" si="0"/>
        <v>2030</v>
      </c>
      <c r="Z9" s="184">
        <f t="shared" si="0"/>
        <v>2031</v>
      </c>
      <c r="AA9" s="184">
        <f t="shared" si="0"/>
        <v>2032</v>
      </c>
      <c r="AB9" s="184">
        <f t="shared" si="0"/>
        <v>2033</v>
      </c>
      <c r="AC9" s="184">
        <f t="shared" si="0"/>
        <v>2034</v>
      </c>
      <c r="AD9" s="184">
        <f t="shared" si="0"/>
        <v>2035</v>
      </c>
      <c r="AE9" s="184">
        <f t="shared" si="0"/>
        <v>2036</v>
      </c>
      <c r="AF9" s="184">
        <f t="shared" si="0"/>
        <v>2037</v>
      </c>
      <c r="AG9" s="184">
        <f t="shared" si="0"/>
        <v>2038</v>
      </c>
      <c r="AH9" s="184">
        <f t="shared" si="0"/>
        <v>2039</v>
      </c>
      <c r="AI9" s="184">
        <f t="shared" si="0"/>
        <v>2040</v>
      </c>
      <c r="AJ9" s="184">
        <f t="shared" si="0"/>
        <v>2041</v>
      </c>
      <c r="AK9" s="184">
        <f t="shared" si="0"/>
        <v>2042</v>
      </c>
      <c r="AL9" s="185">
        <f t="shared" si="0"/>
        <v>2043</v>
      </c>
      <c r="AM9" s="291"/>
    </row>
    <row r="10" spans="1:39" ht="15" outlineLevel="1">
      <c r="A10" s="264" t="s">
        <v>204</v>
      </c>
      <c r="B10" s="292">
        <v>1</v>
      </c>
      <c r="C10" s="293" t="s">
        <v>205</v>
      </c>
      <c r="D10" s="294" t="s">
        <v>205</v>
      </c>
      <c r="E10" s="186">
        <f>18734729.55</f>
        <v>18734729.550000001</v>
      </c>
      <c r="F10" s="187">
        <f>20245143.63</f>
        <v>20245143.629999999</v>
      </c>
      <c r="G10" s="187">
        <f>24139022.15</f>
        <v>24139022.149999999</v>
      </c>
      <c r="H10" s="188">
        <f>20184871.67</f>
        <v>20184871.670000002</v>
      </c>
      <c r="I10" s="189">
        <f>21834404.64</f>
        <v>21834404.640000001</v>
      </c>
      <c r="J10" s="190">
        <f>20719364</f>
        <v>20719364</v>
      </c>
      <c r="K10" s="190">
        <f>21240927</f>
        <v>21240927</v>
      </c>
      <c r="L10" s="190">
        <f>22097480</f>
        <v>22097480</v>
      </c>
      <c r="M10" s="190">
        <f>22640260</f>
        <v>22640260</v>
      </c>
      <c r="N10" s="190">
        <f>23725900</f>
        <v>23725900</v>
      </c>
      <c r="O10" s="190">
        <f>24370936</f>
        <v>24370936</v>
      </c>
      <c r="P10" s="190">
        <f>26783412</f>
        <v>26783412</v>
      </c>
      <c r="Q10" s="190">
        <f>29394663</f>
        <v>29394663</v>
      </c>
      <c r="R10" s="190">
        <f>30905503.42</f>
        <v>30905503.420000002</v>
      </c>
      <c r="S10" s="190">
        <f>0</f>
        <v>0</v>
      </c>
      <c r="T10" s="190">
        <f>0</f>
        <v>0</v>
      </c>
      <c r="U10" s="190">
        <f>0</f>
        <v>0</v>
      </c>
      <c r="V10" s="190">
        <f>0</f>
        <v>0</v>
      </c>
      <c r="W10" s="190">
        <f>0</f>
        <v>0</v>
      </c>
      <c r="X10" s="190">
        <f>0</f>
        <v>0</v>
      </c>
      <c r="Y10" s="190">
        <f>0</f>
        <v>0</v>
      </c>
      <c r="Z10" s="190">
        <f>0</f>
        <v>0</v>
      </c>
      <c r="AA10" s="190">
        <f>0</f>
        <v>0</v>
      </c>
      <c r="AB10" s="190">
        <f>0</f>
        <v>0</v>
      </c>
      <c r="AC10" s="190">
        <f>0</f>
        <v>0</v>
      </c>
      <c r="AD10" s="190">
        <f>0</f>
        <v>0</v>
      </c>
      <c r="AE10" s="190">
        <f>0</f>
        <v>0</v>
      </c>
      <c r="AF10" s="190">
        <f>0</f>
        <v>0</v>
      </c>
      <c r="AG10" s="190">
        <f>0</f>
        <v>0</v>
      </c>
      <c r="AH10" s="190">
        <f>0</f>
        <v>0</v>
      </c>
      <c r="AI10" s="190">
        <f>0</f>
        <v>0</v>
      </c>
      <c r="AJ10" s="190">
        <f>0</f>
        <v>0</v>
      </c>
      <c r="AK10" s="190">
        <f>0</f>
        <v>0</v>
      </c>
      <c r="AL10" s="191">
        <f>0</f>
        <v>0</v>
      </c>
      <c r="AM10" s="295"/>
    </row>
    <row r="11" spans="1:39" outlineLevel="2">
      <c r="A11" s="264" t="s">
        <v>204</v>
      </c>
      <c r="B11" s="296" t="s">
        <v>1</v>
      </c>
      <c r="C11" s="297" t="s">
        <v>206</v>
      </c>
      <c r="D11" s="298" t="s">
        <v>207</v>
      </c>
      <c r="E11" s="192">
        <f>14547878.58</f>
        <v>14547878.58</v>
      </c>
      <c r="F11" s="193">
        <f>17323122.3</f>
        <v>17323122.300000001</v>
      </c>
      <c r="G11" s="193">
        <f>19029276.15</f>
        <v>19029276.149999999</v>
      </c>
      <c r="H11" s="194">
        <f>17672294.68</f>
        <v>17672294.68</v>
      </c>
      <c r="I11" s="195">
        <f>18985494.64</f>
        <v>18985494.640000001</v>
      </c>
      <c r="J11" s="196">
        <f>19021065</f>
        <v>19021065</v>
      </c>
      <c r="K11" s="196">
        <f>19770927</f>
        <v>19770927</v>
      </c>
      <c r="L11" s="196">
        <f>20555480</f>
        <v>20555480</v>
      </c>
      <c r="M11" s="196">
        <f>21415260</f>
        <v>21415260</v>
      </c>
      <c r="N11" s="196">
        <f>22475900</f>
        <v>22475900</v>
      </c>
      <c r="O11" s="196">
        <f>23410936</f>
        <v>23410936</v>
      </c>
      <c r="P11" s="196">
        <f>24383412</f>
        <v>24383412</v>
      </c>
      <c r="Q11" s="196">
        <f>25294663</f>
        <v>25294663</v>
      </c>
      <c r="R11" s="196">
        <f>26305503.42</f>
        <v>26305503.420000002</v>
      </c>
      <c r="S11" s="196">
        <f>0</f>
        <v>0</v>
      </c>
      <c r="T11" s="196">
        <f>0</f>
        <v>0</v>
      </c>
      <c r="U11" s="196">
        <f>0</f>
        <v>0</v>
      </c>
      <c r="V11" s="196">
        <f>0</f>
        <v>0</v>
      </c>
      <c r="W11" s="196">
        <f>0</f>
        <v>0</v>
      </c>
      <c r="X11" s="196">
        <f>0</f>
        <v>0</v>
      </c>
      <c r="Y11" s="196">
        <f>0</f>
        <v>0</v>
      </c>
      <c r="Z11" s="196">
        <f>0</f>
        <v>0</v>
      </c>
      <c r="AA11" s="196">
        <f>0</f>
        <v>0</v>
      </c>
      <c r="AB11" s="196">
        <f>0</f>
        <v>0</v>
      </c>
      <c r="AC11" s="196">
        <f>0</f>
        <v>0</v>
      </c>
      <c r="AD11" s="196">
        <f>0</f>
        <v>0</v>
      </c>
      <c r="AE11" s="196">
        <f>0</f>
        <v>0</v>
      </c>
      <c r="AF11" s="196">
        <f>0</f>
        <v>0</v>
      </c>
      <c r="AG11" s="196">
        <f>0</f>
        <v>0</v>
      </c>
      <c r="AH11" s="196">
        <f>0</f>
        <v>0</v>
      </c>
      <c r="AI11" s="196">
        <f>0</f>
        <v>0</v>
      </c>
      <c r="AJ11" s="196">
        <f>0</f>
        <v>0</v>
      </c>
      <c r="AK11" s="196">
        <f>0</f>
        <v>0</v>
      </c>
      <c r="AL11" s="197">
        <f>0</f>
        <v>0</v>
      </c>
    </row>
    <row r="12" spans="1:39" ht="24.75" customHeight="1" outlineLevel="3">
      <c r="B12" s="296" t="s">
        <v>2</v>
      </c>
      <c r="C12" s="299" t="s">
        <v>208</v>
      </c>
      <c r="D12" s="300" t="s">
        <v>209</v>
      </c>
      <c r="E12" s="192">
        <f>0</f>
        <v>0</v>
      </c>
      <c r="F12" s="193">
        <f>3151779</f>
        <v>3151779</v>
      </c>
      <c r="G12" s="193">
        <f>3351551</f>
        <v>3351551</v>
      </c>
      <c r="H12" s="194">
        <f>3229309</f>
        <v>3229309</v>
      </c>
      <c r="I12" s="195">
        <f>3290694</f>
        <v>3290694</v>
      </c>
      <c r="J12" s="196">
        <f>3389414</f>
        <v>3389414</v>
      </c>
      <c r="K12" s="196">
        <f>3524990</f>
        <v>3524990</v>
      </c>
      <c r="L12" s="196">
        <f>3665989</f>
        <v>3665989</v>
      </c>
      <c r="M12" s="196">
        <f>0</f>
        <v>0</v>
      </c>
      <c r="N12" s="196">
        <f>0</f>
        <v>0</v>
      </c>
      <c r="O12" s="196">
        <f>0</f>
        <v>0</v>
      </c>
      <c r="P12" s="196">
        <f>0</f>
        <v>0</v>
      </c>
      <c r="Q12" s="196">
        <f>0</f>
        <v>0</v>
      </c>
      <c r="R12" s="196">
        <f>0</f>
        <v>0</v>
      </c>
      <c r="S12" s="196">
        <f>0</f>
        <v>0</v>
      </c>
      <c r="T12" s="196">
        <f>0</f>
        <v>0</v>
      </c>
      <c r="U12" s="196">
        <f>0</f>
        <v>0</v>
      </c>
      <c r="V12" s="196">
        <f>0</f>
        <v>0</v>
      </c>
      <c r="W12" s="196">
        <f>0</f>
        <v>0</v>
      </c>
      <c r="X12" s="196">
        <f>0</f>
        <v>0</v>
      </c>
      <c r="Y12" s="196">
        <f>0</f>
        <v>0</v>
      </c>
      <c r="Z12" s="196">
        <f>0</f>
        <v>0</v>
      </c>
      <c r="AA12" s="196">
        <f>0</f>
        <v>0</v>
      </c>
      <c r="AB12" s="196">
        <f>0</f>
        <v>0</v>
      </c>
      <c r="AC12" s="196">
        <f>0</f>
        <v>0</v>
      </c>
      <c r="AD12" s="196">
        <f>0</f>
        <v>0</v>
      </c>
      <c r="AE12" s="196">
        <f>0</f>
        <v>0</v>
      </c>
      <c r="AF12" s="196">
        <f>0</f>
        <v>0</v>
      </c>
      <c r="AG12" s="196">
        <f>0</f>
        <v>0</v>
      </c>
      <c r="AH12" s="196">
        <f>0</f>
        <v>0</v>
      </c>
      <c r="AI12" s="196">
        <f>0</f>
        <v>0</v>
      </c>
      <c r="AJ12" s="196">
        <f>0</f>
        <v>0</v>
      </c>
      <c r="AK12" s="196">
        <f>0</f>
        <v>0</v>
      </c>
      <c r="AL12" s="197">
        <f>0</f>
        <v>0</v>
      </c>
    </row>
    <row r="13" spans="1:39" ht="22.5" customHeight="1" outlineLevel="3">
      <c r="B13" s="296" t="s">
        <v>3</v>
      </c>
      <c r="C13" s="299" t="s">
        <v>210</v>
      </c>
      <c r="D13" s="300" t="s">
        <v>211</v>
      </c>
      <c r="E13" s="192">
        <f>0</f>
        <v>0</v>
      </c>
      <c r="F13" s="193">
        <f>1159935.15</f>
        <v>1159935.1499999999</v>
      </c>
      <c r="G13" s="193">
        <f>1300000</f>
        <v>1300000</v>
      </c>
      <c r="H13" s="194">
        <f>424770.31</f>
        <v>424770.31</v>
      </c>
      <c r="I13" s="195">
        <f>900000</f>
        <v>900000</v>
      </c>
      <c r="J13" s="196">
        <f>100000</f>
        <v>100000</v>
      </c>
      <c r="K13" s="196">
        <f>100000</f>
        <v>100000</v>
      </c>
      <c r="L13" s="196">
        <f>100000</f>
        <v>100000</v>
      </c>
      <c r="M13" s="196">
        <f>0</f>
        <v>0</v>
      </c>
      <c r="N13" s="196">
        <f>0</f>
        <v>0</v>
      </c>
      <c r="O13" s="196">
        <f>0</f>
        <v>0</v>
      </c>
      <c r="P13" s="196">
        <f>0</f>
        <v>0</v>
      </c>
      <c r="Q13" s="196">
        <f>0</f>
        <v>0</v>
      </c>
      <c r="R13" s="196">
        <f>0</f>
        <v>0</v>
      </c>
      <c r="S13" s="196">
        <f>0</f>
        <v>0</v>
      </c>
      <c r="T13" s="196">
        <f>0</f>
        <v>0</v>
      </c>
      <c r="U13" s="196">
        <f>0</f>
        <v>0</v>
      </c>
      <c r="V13" s="196">
        <f>0</f>
        <v>0</v>
      </c>
      <c r="W13" s="196">
        <f>0</f>
        <v>0</v>
      </c>
      <c r="X13" s="196">
        <f>0</f>
        <v>0</v>
      </c>
      <c r="Y13" s="196">
        <f>0</f>
        <v>0</v>
      </c>
      <c r="Z13" s="196">
        <f>0</f>
        <v>0</v>
      </c>
      <c r="AA13" s="196">
        <f>0</f>
        <v>0</v>
      </c>
      <c r="AB13" s="196">
        <f>0</f>
        <v>0</v>
      </c>
      <c r="AC13" s="196">
        <f>0</f>
        <v>0</v>
      </c>
      <c r="AD13" s="196">
        <f>0</f>
        <v>0</v>
      </c>
      <c r="AE13" s="196">
        <f>0</f>
        <v>0</v>
      </c>
      <c r="AF13" s="196">
        <f>0</f>
        <v>0</v>
      </c>
      <c r="AG13" s="196">
        <f>0</f>
        <v>0</v>
      </c>
      <c r="AH13" s="196">
        <f>0</f>
        <v>0</v>
      </c>
      <c r="AI13" s="196">
        <f>0</f>
        <v>0</v>
      </c>
      <c r="AJ13" s="196">
        <f>0</f>
        <v>0</v>
      </c>
      <c r="AK13" s="196">
        <f>0</f>
        <v>0</v>
      </c>
      <c r="AL13" s="197">
        <f>0</f>
        <v>0</v>
      </c>
    </row>
    <row r="14" spans="1:39" outlineLevel="3">
      <c r="B14" s="296" t="s">
        <v>212</v>
      </c>
      <c r="C14" s="299" t="s">
        <v>213</v>
      </c>
      <c r="D14" s="300" t="s">
        <v>214</v>
      </c>
      <c r="E14" s="192">
        <f>0</f>
        <v>0</v>
      </c>
      <c r="F14" s="193">
        <f>6295793.91</f>
        <v>6295793.9100000001</v>
      </c>
      <c r="G14" s="193">
        <f>7187615</f>
        <v>7187615</v>
      </c>
      <c r="H14" s="194">
        <f>7032325.04</f>
        <v>7032325.04</v>
      </c>
      <c r="I14" s="195">
        <f>7959798</f>
        <v>7959798</v>
      </c>
      <c r="J14" s="196">
        <f>7952510</f>
        <v>7952510</v>
      </c>
      <c r="K14" s="196">
        <f>8191086</f>
        <v>8191086</v>
      </c>
      <c r="L14" s="196">
        <f>8518729</f>
        <v>8518729</v>
      </c>
      <c r="M14" s="196">
        <f>0</f>
        <v>0</v>
      </c>
      <c r="N14" s="196">
        <f>0</f>
        <v>0</v>
      </c>
      <c r="O14" s="196">
        <f>0</f>
        <v>0</v>
      </c>
      <c r="P14" s="196">
        <f>0</f>
        <v>0</v>
      </c>
      <c r="Q14" s="196">
        <f>0</f>
        <v>0</v>
      </c>
      <c r="R14" s="196">
        <f>0</f>
        <v>0</v>
      </c>
      <c r="S14" s="196">
        <f>0</f>
        <v>0</v>
      </c>
      <c r="T14" s="196">
        <f>0</f>
        <v>0</v>
      </c>
      <c r="U14" s="196">
        <f>0</f>
        <v>0</v>
      </c>
      <c r="V14" s="196">
        <f>0</f>
        <v>0</v>
      </c>
      <c r="W14" s="196">
        <f>0</f>
        <v>0</v>
      </c>
      <c r="X14" s="196">
        <f>0</f>
        <v>0</v>
      </c>
      <c r="Y14" s="196">
        <f>0</f>
        <v>0</v>
      </c>
      <c r="Z14" s="196">
        <f>0</f>
        <v>0</v>
      </c>
      <c r="AA14" s="196">
        <f>0</f>
        <v>0</v>
      </c>
      <c r="AB14" s="196">
        <f>0</f>
        <v>0</v>
      </c>
      <c r="AC14" s="196">
        <f>0</f>
        <v>0</v>
      </c>
      <c r="AD14" s="196">
        <f>0</f>
        <v>0</v>
      </c>
      <c r="AE14" s="196">
        <f>0</f>
        <v>0</v>
      </c>
      <c r="AF14" s="196">
        <f>0</f>
        <v>0</v>
      </c>
      <c r="AG14" s="196">
        <f>0</f>
        <v>0</v>
      </c>
      <c r="AH14" s="196">
        <f>0</f>
        <v>0</v>
      </c>
      <c r="AI14" s="196">
        <f>0</f>
        <v>0</v>
      </c>
      <c r="AJ14" s="196">
        <f>0</f>
        <v>0</v>
      </c>
      <c r="AK14" s="196">
        <f>0</f>
        <v>0</v>
      </c>
      <c r="AL14" s="197">
        <f>0</f>
        <v>0</v>
      </c>
    </row>
    <row r="15" spans="1:39" outlineLevel="4">
      <c r="B15" s="296" t="s">
        <v>215</v>
      </c>
      <c r="C15" s="299" t="s">
        <v>216</v>
      </c>
      <c r="D15" s="301" t="s">
        <v>217</v>
      </c>
      <c r="E15" s="192">
        <f>0</f>
        <v>0</v>
      </c>
      <c r="F15" s="193">
        <f>5123482.52</f>
        <v>5123482.5199999996</v>
      </c>
      <c r="G15" s="193">
        <f>5433200</f>
        <v>5433200</v>
      </c>
      <c r="H15" s="194">
        <f>5509971.13</f>
        <v>5509971.1299999999</v>
      </c>
      <c r="I15" s="195">
        <f>6010320</f>
        <v>6010320</v>
      </c>
      <c r="J15" s="196">
        <f>6069400</f>
        <v>6069400</v>
      </c>
      <c r="K15" s="196">
        <f>6372878</f>
        <v>6372878</v>
      </c>
      <c r="L15" s="196">
        <f>6691530</f>
        <v>6691530</v>
      </c>
      <c r="M15" s="196">
        <f>0</f>
        <v>0</v>
      </c>
      <c r="N15" s="196">
        <f>0</f>
        <v>0</v>
      </c>
      <c r="O15" s="196">
        <f>0</f>
        <v>0</v>
      </c>
      <c r="P15" s="196">
        <f>0</f>
        <v>0</v>
      </c>
      <c r="Q15" s="196">
        <f>0</f>
        <v>0</v>
      </c>
      <c r="R15" s="196">
        <f>0</f>
        <v>0</v>
      </c>
      <c r="S15" s="196">
        <f>0</f>
        <v>0</v>
      </c>
      <c r="T15" s="196">
        <f>0</f>
        <v>0</v>
      </c>
      <c r="U15" s="196">
        <f>0</f>
        <v>0</v>
      </c>
      <c r="V15" s="196">
        <f>0</f>
        <v>0</v>
      </c>
      <c r="W15" s="196">
        <f>0</f>
        <v>0</v>
      </c>
      <c r="X15" s="196">
        <f>0</f>
        <v>0</v>
      </c>
      <c r="Y15" s="196">
        <f>0</f>
        <v>0</v>
      </c>
      <c r="Z15" s="196">
        <f>0</f>
        <v>0</v>
      </c>
      <c r="AA15" s="196">
        <f>0</f>
        <v>0</v>
      </c>
      <c r="AB15" s="196">
        <f>0</f>
        <v>0</v>
      </c>
      <c r="AC15" s="196">
        <f>0</f>
        <v>0</v>
      </c>
      <c r="AD15" s="196">
        <f>0</f>
        <v>0</v>
      </c>
      <c r="AE15" s="196">
        <f>0</f>
        <v>0</v>
      </c>
      <c r="AF15" s="196">
        <f>0</f>
        <v>0</v>
      </c>
      <c r="AG15" s="196">
        <f>0</f>
        <v>0</v>
      </c>
      <c r="AH15" s="196">
        <f>0</f>
        <v>0</v>
      </c>
      <c r="AI15" s="196">
        <f>0</f>
        <v>0</v>
      </c>
      <c r="AJ15" s="196">
        <f>0</f>
        <v>0</v>
      </c>
      <c r="AK15" s="196">
        <f>0</f>
        <v>0</v>
      </c>
      <c r="AL15" s="197">
        <f>0</f>
        <v>0</v>
      </c>
    </row>
    <row r="16" spans="1:39" outlineLevel="3">
      <c r="B16" s="296" t="s">
        <v>218</v>
      </c>
      <c r="C16" s="299" t="s">
        <v>219</v>
      </c>
      <c r="D16" s="300" t="s">
        <v>220</v>
      </c>
      <c r="E16" s="192">
        <f>0</f>
        <v>0</v>
      </c>
      <c r="F16" s="193">
        <f>3052760</f>
        <v>3052760</v>
      </c>
      <c r="G16" s="193">
        <f>3242345</f>
        <v>3242345</v>
      </c>
      <c r="H16" s="194">
        <f>3284589</f>
        <v>3284589</v>
      </c>
      <c r="I16" s="195">
        <f>3309648</f>
        <v>3309648</v>
      </c>
      <c r="J16" s="196">
        <f>3345427</f>
        <v>3345427</v>
      </c>
      <c r="K16" s="196">
        <f>3380000</f>
        <v>3380000</v>
      </c>
      <c r="L16" s="196">
        <f>3413800</f>
        <v>3413800</v>
      </c>
      <c r="M16" s="196">
        <f>0</f>
        <v>0</v>
      </c>
      <c r="N16" s="196">
        <f>0</f>
        <v>0</v>
      </c>
      <c r="O16" s="196">
        <f>0</f>
        <v>0</v>
      </c>
      <c r="P16" s="196">
        <f>0</f>
        <v>0</v>
      </c>
      <c r="Q16" s="196">
        <f>0</f>
        <v>0</v>
      </c>
      <c r="R16" s="196">
        <f>0</f>
        <v>0</v>
      </c>
      <c r="S16" s="196">
        <f>0</f>
        <v>0</v>
      </c>
      <c r="T16" s="196">
        <f>0</f>
        <v>0</v>
      </c>
      <c r="U16" s="196">
        <f>0</f>
        <v>0</v>
      </c>
      <c r="V16" s="196">
        <f>0</f>
        <v>0</v>
      </c>
      <c r="W16" s="196">
        <f>0</f>
        <v>0</v>
      </c>
      <c r="X16" s="196">
        <f>0</f>
        <v>0</v>
      </c>
      <c r="Y16" s="196">
        <f>0</f>
        <v>0</v>
      </c>
      <c r="Z16" s="196">
        <f>0</f>
        <v>0</v>
      </c>
      <c r="AA16" s="196">
        <f>0</f>
        <v>0</v>
      </c>
      <c r="AB16" s="196">
        <f>0</f>
        <v>0</v>
      </c>
      <c r="AC16" s="196">
        <f>0</f>
        <v>0</v>
      </c>
      <c r="AD16" s="196">
        <f>0</f>
        <v>0</v>
      </c>
      <c r="AE16" s="196">
        <f>0</f>
        <v>0</v>
      </c>
      <c r="AF16" s="196">
        <f>0</f>
        <v>0</v>
      </c>
      <c r="AG16" s="196">
        <f>0</f>
        <v>0</v>
      </c>
      <c r="AH16" s="196">
        <f>0</f>
        <v>0</v>
      </c>
      <c r="AI16" s="196">
        <f>0</f>
        <v>0</v>
      </c>
      <c r="AJ16" s="196">
        <f>0</f>
        <v>0</v>
      </c>
      <c r="AK16" s="196">
        <f>0</f>
        <v>0</v>
      </c>
      <c r="AL16" s="197">
        <f>0</f>
        <v>0</v>
      </c>
    </row>
    <row r="17" spans="1:39" outlineLevel="3">
      <c r="B17" s="296" t="s">
        <v>221</v>
      </c>
      <c r="C17" s="299" t="s">
        <v>222</v>
      </c>
      <c r="D17" s="300" t="s">
        <v>223</v>
      </c>
      <c r="E17" s="192">
        <f>0</f>
        <v>0</v>
      </c>
      <c r="F17" s="193">
        <f>2310121.95</f>
        <v>2310121.9500000002</v>
      </c>
      <c r="G17" s="193">
        <f>2469249.15</f>
        <v>2469249.15</v>
      </c>
      <c r="H17" s="194">
        <f>2542942.62</f>
        <v>2542942.62</v>
      </c>
      <c r="I17" s="195">
        <f>2255719.64</f>
        <v>2255719.64</v>
      </c>
      <c r="J17" s="196">
        <f>2386865</f>
        <v>2386865</v>
      </c>
      <c r="K17" s="196">
        <f>2530076</f>
        <v>2530076</v>
      </c>
      <c r="L17" s="196">
        <f>2580677</f>
        <v>2580677</v>
      </c>
      <c r="M17" s="196">
        <f>0</f>
        <v>0</v>
      </c>
      <c r="N17" s="196">
        <f>0</f>
        <v>0</v>
      </c>
      <c r="O17" s="196">
        <f>0</f>
        <v>0</v>
      </c>
      <c r="P17" s="196">
        <f>0</f>
        <v>0</v>
      </c>
      <c r="Q17" s="196">
        <f>0</f>
        <v>0</v>
      </c>
      <c r="R17" s="196">
        <f>0</f>
        <v>0</v>
      </c>
      <c r="S17" s="196">
        <f>0</f>
        <v>0</v>
      </c>
      <c r="T17" s="196">
        <f>0</f>
        <v>0</v>
      </c>
      <c r="U17" s="196">
        <f>0</f>
        <v>0</v>
      </c>
      <c r="V17" s="196">
        <f>0</f>
        <v>0</v>
      </c>
      <c r="W17" s="196">
        <f>0</f>
        <v>0</v>
      </c>
      <c r="X17" s="196">
        <f>0</f>
        <v>0</v>
      </c>
      <c r="Y17" s="196">
        <f>0</f>
        <v>0</v>
      </c>
      <c r="Z17" s="196">
        <f>0</f>
        <v>0</v>
      </c>
      <c r="AA17" s="196">
        <f>0</f>
        <v>0</v>
      </c>
      <c r="AB17" s="196">
        <f>0</f>
        <v>0</v>
      </c>
      <c r="AC17" s="196">
        <f>0</f>
        <v>0</v>
      </c>
      <c r="AD17" s="196">
        <f>0</f>
        <v>0</v>
      </c>
      <c r="AE17" s="196">
        <f>0</f>
        <v>0</v>
      </c>
      <c r="AF17" s="196">
        <f>0</f>
        <v>0</v>
      </c>
      <c r="AG17" s="196">
        <f>0</f>
        <v>0</v>
      </c>
      <c r="AH17" s="196">
        <f>0</f>
        <v>0</v>
      </c>
      <c r="AI17" s="196">
        <f>0</f>
        <v>0</v>
      </c>
      <c r="AJ17" s="196">
        <f>0</f>
        <v>0</v>
      </c>
      <c r="AK17" s="196">
        <f>0</f>
        <v>0</v>
      </c>
      <c r="AL17" s="197">
        <f>0</f>
        <v>0</v>
      </c>
    </row>
    <row r="18" spans="1:39" outlineLevel="2">
      <c r="A18" s="264" t="s">
        <v>204</v>
      </c>
      <c r="B18" s="296" t="s">
        <v>4</v>
      </c>
      <c r="C18" s="299" t="s">
        <v>224</v>
      </c>
      <c r="D18" s="298" t="s">
        <v>225</v>
      </c>
      <c r="E18" s="192">
        <f>4186850.97</f>
        <v>4186850.97</v>
      </c>
      <c r="F18" s="193">
        <f>2922021.33</f>
        <v>2922021.33</v>
      </c>
      <c r="G18" s="193">
        <f>5109746</f>
        <v>5109746</v>
      </c>
      <c r="H18" s="194">
        <f>2512576.99</f>
        <v>2512576.9900000002</v>
      </c>
      <c r="I18" s="195">
        <f>2848910</f>
        <v>2848910</v>
      </c>
      <c r="J18" s="196">
        <f>1698299</f>
        <v>1698299</v>
      </c>
      <c r="K18" s="196">
        <f>1470000</f>
        <v>1470000</v>
      </c>
      <c r="L18" s="196">
        <f>1542000</f>
        <v>1542000</v>
      </c>
      <c r="M18" s="196">
        <f>1225000</f>
        <v>1225000</v>
      </c>
      <c r="N18" s="196">
        <f>1250000</f>
        <v>1250000</v>
      </c>
      <c r="O18" s="196">
        <f>960000</f>
        <v>960000</v>
      </c>
      <c r="P18" s="196">
        <f>2400000</f>
        <v>2400000</v>
      </c>
      <c r="Q18" s="196">
        <f>4100000</f>
        <v>4100000</v>
      </c>
      <c r="R18" s="196">
        <f>4600000</f>
        <v>4600000</v>
      </c>
      <c r="S18" s="196">
        <f>0</f>
        <v>0</v>
      </c>
      <c r="T18" s="196">
        <f>0</f>
        <v>0</v>
      </c>
      <c r="U18" s="196">
        <f>0</f>
        <v>0</v>
      </c>
      <c r="V18" s="196">
        <f>0</f>
        <v>0</v>
      </c>
      <c r="W18" s="196">
        <f>0</f>
        <v>0</v>
      </c>
      <c r="X18" s="196">
        <f>0</f>
        <v>0</v>
      </c>
      <c r="Y18" s="196">
        <f>0</f>
        <v>0</v>
      </c>
      <c r="Z18" s="196">
        <f>0</f>
        <v>0</v>
      </c>
      <c r="AA18" s="196">
        <f>0</f>
        <v>0</v>
      </c>
      <c r="AB18" s="196">
        <f>0</f>
        <v>0</v>
      </c>
      <c r="AC18" s="196">
        <f>0</f>
        <v>0</v>
      </c>
      <c r="AD18" s="196">
        <f>0</f>
        <v>0</v>
      </c>
      <c r="AE18" s="196">
        <f>0</f>
        <v>0</v>
      </c>
      <c r="AF18" s="196">
        <f>0</f>
        <v>0</v>
      </c>
      <c r="AG18" s="196">
        <f>0</f>
        <v>0</v>
      </c>
      <c r="AH18" s="196">
        <f>0</f>
        <v>0</v>
      </c>
      <c r="AI18" s="196">
        <f>0</f>
        <v>0</v>
      </c>
      <c r="AJ18" s="196">
        <f>0</f>
        <v>0</v>
      </c>
      <c r="AK18" s="196">
        <f>0</f>
        <v>0</v>
      </c>
      <c r="AL18" s="197">
        <f>0</f>
        <v>0</v>
      </c>
    </row>
    <row r="19" spans="1:39" outlineLevel="3">
      <c r="A19" s="264" t="s">
        <v>204</v>
      </c>
      <c r="B19" s="296" t="s">
        <v>5</v>
      </c>
      <c r="C19" s="299" t="s">
        <v>226</v>
      </c>
      <c r="D19" s="300" t="s">
        <v>227</v>
      </c>
      <c r="E19" s="192">
        <f>1625556.65</f>
        <v>1625556.65</v>
      </c>
      <c r="F19" s="193">
        <f>252913.34</f>
        <v>252913.34</v>
      </c>
      <c r="G19" s="193">
        <f>2049970</f>
        <v>2049970</v>
      </c>
      <c r="H19" s="194">
        <f>1132047.95</f>
        <v>1132047.95</v>
      </c>
      <c r="I19" s="195">
        <f>1708398</f>
        <v>1708398</v>
      </c>
      <c r="J19" s="196">
        <f>1400000</f>
        <v>1400000</v>
      </c>
      <c r="K19" s="196">
        <f>1050000</f>
        <v>1050000</v>
      </c>
      <c r="L19" s="196">
        <f>850000</f>
        <v>850000</v>
      </c>
      <c r="M19" s="196">
        <f>200000</f>
        <v>200000</v>
      </c>
      <c r="N19" s="196">
        <f>0</f>
        <v>0</v>
      </c>
      <c r="O19" s="196">
        <f>0</f>
        <v>0</v>
      </c>
      <c r="P19" s="196">
        <f>0</f>
        <v>0</v>
      </c>
      <c r="Q19" s="196">
        <f>0</f>
        <v>0</v>
      </c>
      <c r="R19" s="196">
        <f>0</f>
        <v>0</v>
      </c>
      <c r="S19" s="196">
        <f>0</f>
        <v>0</v>
      </c>
      <c r="T19" s="196">
        <f>0</f>
        <v>0</v>
      </c>
      <c r="U19" s="196">
        <f>0</f>
        <v>0</v>
      </c>
      <c r="V19" s="196">
        <f>0</f>
        <v>0</v>
      </c>
      <c r="W19" s="196">
        <f>0</f>
        <v>0</v>
      </c>
      <c r="X19" s="196">
        <f>0</f>
        <v>0</v>
      </c>
      <c r="Y19" s="196">
        <f>0</f>
        <v>0</v>
      </c>
      <c r="Z19" s="196">
        <f>0</f>
        <v>0</v>
      </c>
      <c r="AA19" s="196">
        <f>0</f>
        <v>0</v>
      </c>
      <c r="AB19" s="196">
        <f>0</f>
        <v>0</v>
      </c>
      <c r="AC19" s="196">
        <f>0</f>
        <v>0</v>
      </c>
      <c r="AD19" s="196">
        <f>0</f>
        <v>0</v>
      </c>
      <c r="AE19" s="196">
        <f>0</f>
        <v>0</v>
      </c>
      <c r="AF19" s="196">
        <f>0</f>
        <v>0</v>
      </c>
      <c r="AG19" s="196">
        <f>0</f>
        <v>0</v>
      </c>
      <c r="AH19" s="196">
        <f>0</f>
        <v>0</v>
      </c>
      <c r="AI19" s="196">
        <f>0</f>
        <v>0</v>
      </c>
      <c r="AJ19" s="196">
        <f>0</f>
        <v>0</v>
      </c>
      <c r="AK19" s="196">
        <f>0</f>
        <v>0</v>
      </c>
      <c r="AL19" s="197">
        <f>0</f>
        <v>0</v>
      </c>
    </row>
    <row r="20" spans="1:39" outlineLevel="3">
      <c r="B20" s="296" t="s">
        <v>6</v>
      </c>
      <c r="C20" s="299" t="s">
        <v>228</v>
      </c>
      <c r="D20" s="300" t="s">
        <v>229</v>
      </c>
      <c r="E20" s="192">
        <f>2533289.46</f>
        <v>2533289.46</v>
      </c>
      <c r="F20" s="193">
        <f>2345848.47</f>
        <v>2345848.4700000002</v>
      </c>
      <c r="G20" s="193">
        <f>1694776</f>
        <v>1694776</v>
      </c>
      <c r="H20" s="194">
        <f>1351580.04</f>
        <v>1351580.04</v>
      </c>
      <c r="I20" s="195">
        <f>834288</f>
        <v>834288</v>
      </c>
      <c r="J20" s="196">
        <f>100000</f>
        <v>100000</v>
      </c>
      <c r="K20" s="196">
        <f>250000</f>
        <v>250000</v>
      </c>
      <c r="L20" s="196">
        <f>475000</f>
        <v>475000</v>
      </c>
      <c r="M20" s="196">
        <f>1000000</f>
        <v>1000000</v>
      </c>
      <c r="N20" s="196">
        <f>1244500</f>
        <v>1244500</v>
      </c>
      <c r="O20" s="196">
        <f>920000</f>
        <v>920000</v>
      </c>
      <c r="P20" s="196">
        <f>2380000</f>
        <v>2380000</v>
      </c>
      <c r="Q20" s="196">
        <f>4030000</f>
        <v>4030000</v>
      </c>
      <c r="R20" s="196">
        <f>4570000</f>
        <v>4570000</v>
      </c>
      <c r="S20" s="196">
        <f>0</f>
        <v>0</v>
      </c>
      <c r="T20" s="196">
        <f>0</f>
        <v>0</v>
      </c>
      <c r="U20" s="196">
        <f>0</f>
        <v>0</v>
      </c>
      <c r="V20" s="196">
        <f>0</f>
        <v>0</v>
      </c>
      <c r="W20" s="196">
        <f>0</f>
        <v>0</v>
      </c>
      <c r="X20" s="196">
        <f>0</f>
        <v>0</v>
      </c>
      <c r="Y20" s="196">
        <f>0</f>
        <v>0</v>
      </c>
      <c r="Z20" s="196">
        <f>0</f>
        <v>0</v>
      </c>
      <c r="AA20" s="196">
        <f>0</f>
        <v>0</v>
      </c>
      <c r="AB20" s="196">
        <f>0</f>
        <v>0</v>
      </c>
      <c r="AC20" s="196">
        <f>0</f>
        <v>0</v>
      </c>
      <c r="AD20" s="196">
        <f>0</f>
        <v>0</v>
      </c>
      <c r="AE20" s="196">
        <f>0</f>
        <v>0</v>
      </c>
      <c r="AF20" s="196">
        <f>0</f>
        <v>0</v>
      </c>
      <c r="AG20" s="196">
        <f>0</f>
        <v>0</v>
      </c>
      <c r="AH20" s="196">
        <f>0</f>
        <v>0</v>
      </c>
      <c r="AI20" s="196">
        <f>0</f>
        <v>0</v>
      </c>
      <c r="AJ20" s="196">
        <f>0</f>
        <v>0</v>
      </c>
      <c r="AK20" s="196">
        <f>0</f>
        <v>0</v>
      </c>
      <c r="AL20" s="197">
        <f>0</f>
        <v>0</v>
      </c>
    </row>
    <row r="21" spans="1:39" ht="15" outlineLevel="1">
      <c r="A21" s="264" t="s">
        <v>204</v>
      </c>
      <c r="B21" s="292">
        <v>2</v>
      </c>
      <c r="C21" s="293" t="s">
        <v>230</v>
      </c>
      <c r="D21" s="294" t="s">
        <v>230</v>
      </c>
      <c r="E21" s="186">
        <f>18802683.05</f>
        <v>18802683.050000001</v>
      </c>
      <c r="F21" s="187">
        <f>24474004.48</f>
        <v>24474004.48</v>
      </c>
      <c r="G21" s="187">
        <f>23725361.15</f>
        <v>23725361.149999999</v>
      </c>
      <c r="H21" s="188">
        <f>19823836.72</f>
        <v>19823836.719999999</v>
      </c>
      <c r="I21" s="189">
        <f>19969883.64</f>
        <v>19969883.640000001</v>
      </c>
      <c r="J21" s="190">
        <f>18754843</f>
        <v>18754843</v>
      </c>
      <c r="K21" s="190">
        <f>19276406</f>
        <v>19276406</v>
      </c>
      <c r="L21" s="190">
        <f>20132959</f>
        <v>20132959</v>
      </c>
      <c r="M21" s="190">
        <f>20675739</f>
        <v>20675739</v>
      </c>
      <c r="N21" s="190">
        <f>21761379</f>
        <v>21761379</v>
      </c>
      <c r="O21" s="190">
        <f>22446415</f>
        <v>22446415</v>
      </c>
      <c r="P21" s="190">
        <f>25762285</f>
        <v>25762285</v>
      </c>
      <c r="Q21" s="190">
        <f>29024700</f>
        <v>29024700</v>
      </c>
      <c r="R21" s="190">
        <f>30635458</f>
        <v>30635458</v>
      </c>
      <c r="S21" s="190">
        <f>0</f>
        <v>0</v>
      </c>
      <c r="T21" s="190">
        <f>0</f>
        <v>0</v>
      </c>
      <c r="U21" s="190">
        <f>0</f>
        <v>0</v>
      </c>
      <c r="V21" s="190">
        <f>0</f>
        <v>0</v>
      </c>
      <c r="W21" s="190">
        <f>0</f>
        <v>0</v>
      </c>
      <c r="X21" s="190">
        <f>0</f>
        <v>0</v>
      </c>
      <c r="Y21" s="190">
        <f>0</f>
        <v>0</v>
      </c>
      <c r="Z21" s="190">
        <f>0</f>
        <v>0</v>
      </c>
      <c r="AA21" s="190">
        <f>0</f>
        <v>0</v>
      </c>
      <c r="AB21" s="190">
        <f>0</f>
        <v>0</v>
      </c>
      <c r="AC21" s="190">
        <f>0</f>
        <v>0</v>
      </c>
      <c r="AD21" s="190">
        <f>0</f>
        <v>0</v>
      </c>
      <c r="AE21" s="190">
        <f>0</f>
        <v>0</v>
      </c>
      <c r="AF21" s="190">
        <f>0</f>
        <v>0</v>
      </c>
      <c r="AG21" s="190">
        <f>0</f>
        <v>0</v>
      </c>
      <c r="AH21" s="190">
        <f>0</f>
        <v>0</v>
      </c>
      <c r="AI21" s="190">
        <f>0</f>
        <v>0</v>
      </c>
      <c r="AJ21" s="190">
        <f>0</f>
        <v>0</v>
      </c>
      <c r="AK21" s="190">
        <f>0</f>
        <v>0</v>
      </c>
      <c r="AL21" s="191">
        <f>0</f>
        <v>0</v>
      </c>
      <c r="AM21" s="295"/>
    </row>
    <row r="22" spans="1:39" outlineLevel="2">
      <c r="A22" s="264" t="s">
        <v>204</v>
      </c>
      <c r="B22" s="296" t="s">
        <v>231</v>
      </c>
      <c r="C22" s="297" t="s">
        <v>232</v>
      </c>
      <c r="D22" s="298" t="s">
        <v>233</v>
      </c>
      <c r="E22" s="192">
        <f>13267074.91</f>
        <v>13267074.91</v>
      </c>
      <c r="F22" s="193">
        <f>15684142.16</f>
        <v>15684142.16</v>
      </c>
      <c r="G22" s="193">
        <f>18080461.15</f>
        <v>18080461.149999999</v>
      </c>
      <c r="H22" s="194">
        <f>16022654.21</f>
        <v>16022654.210000001</v>
      </c>
      <c r="I22" s="195">
        <f>17241948.73</f>
        <v>17241948.73</v>
      </c>
      <c r="J22" s="196">
        <f>16713351</f>
        <v>16713351</v>
      </c>
      <c r="K22" s="196">
        <f>17068789</f>
        <v>17068789</v>
      </c>
      <c r="L22" s="196">
        <f>17360478</f>
        <v>17360478</v>
      </c>
      <c r="M22" s="196">
        <f>17780739</f>
        <v>17780739</v>
      </c>
      <c r="N22" s="196">
        <f>18154579</f>
        <v>18154579</v>
      </c>
      <c r="O22" s="196">
        <f>18526979</f>
        <v>18526979</v>
      </c>
      <c r="P22" s="196">
        <f>18915739</f>
        <v>18915739</v>
      </c>
      <c r="Q22" s="196">
        <f>19212276</f>
        <v>19212276</v>
      </c>
      <c r="R22" s="196">
        <f>19716788</f>
        <v>19716788</v>
      </c>
      <c r="S22" s="196">
        <f>0</f>
        <v>0</v>
      </c>
      <c r="T22" s="196">
        <f>0</f>
        <v>0</v>
      </c>
      <c r="U22" s="196">
        <f>0</f>
        <v>0</v>
      </c>
      <c r="V22" s="196">
        <f>0</f>
        <v>0</v>
      </c>
      <c r="W22" s="196">
        <f>0</f>
        <v>0</v>
      </c>
      <c r="X22" s="196">
        <f>0</f>
        <v>0</v>
      </c>
      <c r="Y22" s="196">
        <f>0</f>
        <v>0</v>
      </c>
      <c r="Z22" s="196">
        <f>0</f>
        <v>0</v>
      </c>
      <c r="AA22" s="196">
        <f>0</f>
        <v>0</v>
      </c>
      <c r="AB22" s="196">
        <f>0</f>
        <v>0</v>
      </c>
      <c r="AC22" s="196">
        <f>0</f>
        <v>0</v>
      </c>
      <c r="AD22" s="196">
        <f>0</f>
        <v>0</v>
      </c>
      <c r="AE22" s="196">
        <f>0</f>
        <v>0</v>
      </c>
      <c r="AF22" s="196">
        <f>0</f>
        <v>0</v>
      </c>
      <c r="AG22" s="196">
        <f>0</f>
        <v>0</v>
      </c>
      <c r="AH22" s="196">
        <f>0</f>
        <v>0</v>
      </c>
      <c r="AI22" s="196">
        <f>0</f>
        <v>0</v>
      </c>
      <c r="AJ22" s="196">
        <f>0</f>
        <v>0</v>
      </c>
      <c r="AK22" s="196">
        <f>0</f>
        <v>0</v>
      </c>
      <c r="AL22" s="197">
        <f>0</f>
        <v>0</v>
      </c>
    </row>
    <row r="23" spans="1:39" outlineLevel="3">
      <c r="A23" s="264" t="s">
        <v>204</v>
      </c>
      <c r="B23" s="296" t="s">
        <v>234</v>
      </c>
      <c r="C23" s="299" t="s">
        <v>235</v>
      </c>
      <c r="D23" s="300" t="s">
        <v>236</v>
      </c>
      <c r="E23" s="192">
        <f>0</f>
        <v>0</v>
      </c>
      <c r="F23" s="193">
        <f>0</f>
        <v>0</v>
      </c>
      <c r="G23" s="193">
        <f>0</f>
        <v>0</v>
      </c>
      <c r="H23" s="194">
        <f>0</f>
        <v>0</v>
      </c>
      <c r="I23" s="195">
        <f>0</f>
        <v>0</v>
      </c>
      <c r="J23" s="196">
        <f>0</f>
        <v>0</v>
      </c>
      <c r="K23" s="196">
        <f>0</f>
        <v>0</v>
      </c>
      <c r="L23" s="196">
        <f>0</f>
        <v>0</v>
      </c>
      <c r="M23" s="196">
        <f>0</f>
        <v>0</v>
      </c>
      <c r="N23" s="196">
        <f>0</f>
        <v>0</v>
      </c>
      <c r="O23" s="196">
        <f>0</f>
        <v>0</v>
      </c>
      <c r="P23" s="196">
        <f>0</f>
        <v>0</v>
      </c>
      <c r="Q23" s="196">
        <f>0</f>
        <v>0</v>
      </c>
      <c r="R23" s="196">
        <f>0</f>
        <v>0</v>
      </c>
      <c r="S23" s="196">
        <f>0</f>
        <v>0</v>
      </c>
      <c r="T23" s="196">
        <f>0</f>
        <v>0</v>
      </c>
      <c r="U23" s="196">
        <f>0</f>
        <v>0</v>
      </c>
      <c r="V23" s="196">
        <f>0</f>
        <v>0</v>
      </c>
      <c r="W23" s="196">
        <f>0</f>
        <v>0</v>
      </c>
      <c r="X23" s="196">
        <f>0</f>
        <v>0</v>
      </c>
      <c r="Y23" s="196">
        <f>0</f>
        <v>0</v>
      </c>
      <c r="Z23" s="196">
        <f>0</f>
        <v>0</v>
      </c>
      <c r="AA23" s="196">
        <f>0</f>
        <v>0</v>
      </c>
      <c r="AB23" s="196">
        <f>0</f>
        <v>0</v>
      </c>
      <c r="AC23" s="196">
        <f>0</f>
        <v>0</v>
      </c>
      <c r="AD23" s="196">
        <f>0</f>
        <v>0</v>
      </c>
      <c r="AE23" s="196">
        <f>0</f>
        <v>0</v>
      </c>
      <c r="AF23" s="196">
        <f>0</f>
        <v>0</v>
      </c>
      <c r="AG23" s="196">
        <f>0</f>
        <v>0</v>
      </c>
      <c r="AH23" s="196">
        <f>0</f>
        <v>0</v>
      </c>
      <c r="AI23" s="196">
        <f>0</f>
        <v>0</v>
      </c>
      <c r="AJ23" s="196">
        <f>0</f>
        <v>0</v>
      </c>
      <c r="AK23" s="196">
        <f>0</f>
        <v>0</v>
      </c>
      <c r="AL23" s="197">
        <f>0</f>
        <v>0</v>
      </c>
    </row>
    <row r="24" spans="1:39" ht="24" outlineLevel="4">
      <c r="A24" s="264" t="s">
        <v>204</v>
      </c>
      <c r="B24" s="296" t="s">
        <v>237</v>
      </c>
      <c r="C24" s="299" t="s">
        <v>238</v>
      </c>
      <c r="D24" s="301" t="s">
        <v>239</v>
      </c>
      <c r="E24" s="192">
        <f>0</f>
        <v>0</v>
      </c>
      <c r="F24" s="193">
        <f>0</f>
        <v>0</v>
      </c>
      <c r="G24" s="193">
        <f>0</f>
        <v>0</v>
      </c>
      <c r="H24" s="194">
        <f>0</f>
        <v>0</v>
      </c>
      <c r="I24" s="195">
        <f>0</f>
        <v>0</v>
      </c>
      <c r="J24" s="196">
        <f>0</f>
        <v>0</v>
      </c>
      <c r="K24" s="196">
        <f>0</f>
        <v>0</v>
      </c>
      <c r="L24" s="196">
        <f>0</f>
        <v>0</v>
      </c>
      <c r="M24" s="196">
        <f>0</f>
        <v>0</v>
      </c>
      <c r="N24" s="196">
        <f>0</f>
        <v>0</v>
      </c>
      <c r="O24" s="196">
        <f>0</f>
        <v>0</v>
      </c>
      <c r="P24" s="196">
        <f>0</f>
        <v>0</v>
      </c>
      <c r="Q24" s="196">
        <f>0</f>
        <v>0</v>
      </c>
      <c r="R24" s="196">
        <f>0</f>
        <v>0</v>
      </c>
      <c r="S24" s="196">
        <f>0</f>
        <v>0</v>
      </c>
      <c r="T24" s="196">
        <f>0</f>
        <v>0</v>
      </c>
      <c r="U24" s="196">
        <f>0</f>
        <v>0</v>
      </c>
      <c r="V24" s="196">
        <f>0</f>
        <v>0</v>
      </c>
      <c r="W24" s="196">
        <f>0</f>
        <v>0</v>
      </c>
      <c r="X24" s="196">
        <f>0</f>
        <v>0</v>
      </c>
      <c r="Y24" s="196">
        <f>0</f>
        <v>0</v>
      </c>
      <c r="Z24" s="196">
        <f>0</f>
        <v>0</v>
      </c>
      <c r="AA24" s="196">
        <f>0</f>
        <v>0</v>
      </c>
      <c r="AB24" s="196">
        <f>0</f>
        <v>0</v>
      </c>
      <c r="AC24" s="196">
        <f>0</f>
        <v>0</v>
      </c>
      <c r="AD24" s="196">
        <f>0</f>
        <v>0</v>
      </c>
      <c r="AE24" s="196">
        <f>0</f>
        <v>0</v>
      </c>
      <c r="AF24" s="196">
        <f>0</f>
        <v>0</v>
      </c>
      <c r="AG24" s="196">
        <f>0</f>
        <v>0</v>
      </c>
      <c r="AH24" s="196">
        <f>0</f>
        <v>0</v>
      </c>
      <c r="AI24" s="196">
        <f>0</f>
        <v>0</v>
      </c>
      <c r="AJ24" s="196">
        <f>0</f>
        <v>0</v>
      </c>
      <c r="AK24" s="196">
        <f>0</f>
        <v>0</v>
      </c>
      <c r="AL24" s="197">
        <f>0</f>
        <v>0</v>
      </c>
    </row>
    <row r="25" spans="1:39" ht="45.75" customHeight="1" outlineLevel="3">
      <c r="B25" s="296" t="s">
        <v>240</v>
      </c>
      <c r="C25" s="299" t="s">
        <v>241</v>
      </c>
      <c r="D25" s="300" t="s">
        <v>242</v>
      </c>
      <c r="E25" s="192">
        <f>0</f>
        <v>0</v>
      </c>
      <c r="F25" s="193">
        <f>0</f>
        <v>0</v>
      </c>
      <c r="G25" s="193">
        <f>0</f>
        <v>0</v>
      </c>
      <c r="H25" s="194">
        <f>0</f>
        <v>0</v>
      </c>
      <c r="I25" s="195">
        <f>0</f>
        <v>0</v>
      </c>
      <c r="J25" s="196">
        <f>0</f>
        <v>0</v>
      </c>
      <c r="K25" s="196">
        <f>0</f>
        <v>0</v>
      </c>
      <c r="L25" s="196">
        <f>0</f>
        <v>0</v>
      </c>
      <c r="M25" s="196">
        <f>0</f>
        <v>0</v>
      </c>
      <c r="N25" s="196">
        <f>0</f>
        <v>0</v>
      </c>
      <c r="O25" s="196">
        <f>0</f>
        <v>0</v>
      </c>
      <c r="P25" s="196">
        <f>0</f>
        <v>0</v>
      </c>
      <c r="Q25" s="196">
        <f>0</f>
        <v>0</v>
      </c>
      <c r="R25" s="196">
        <f>0</f>
        <v>0</v>
      </c>
      <c r="S25" s="196">
        <f>0</f>
        <v>0</v>
      </c>
      <c r="T25" s="196">
        <f>0</f>
        <v>0</v>
      </c>
      <c r="U25" s="196">
        <f>0</f>
        <v>0</v>
      </c>
      <c r="V25" s="196">
        <f>0</f>
        <v>0</v>
      </c>
      <c r="W25" s="196">
        <f>0</f>
        <v>0</v>
      </c>
      <c r="X25" s="196">
        <f>0</f>
        <v>0</v>
      </c>
      <c r="Y25" s="196">
        <f>0</f>
        <v>0</v>
      </c>
      <c r="Z25" s="196">
        <f>0</f>
        <v>0</v>
      </c>
      <c r="AA25" s="196">
        <f>0</f>
        <v>0</v>
      </c>
      <c r="AB25" s="196">
        <f>0</f>
        <v>0</v>
      </c>
      <c r="AC25" s="196">
        <f>0</f>
        <v>0</v>
      </c>
      <c r="AD25" s="196">
        <f>0</f>
        <v>0</v>
      </c>
      <c r="AE25" s="196">
        <f>0</f>
        <v>0</v>
      </c>
      <c r="AF25" s="196">
        <f>0</f>
        <v>0</v>
      </c>
      <c r="AG25" s="196">
        <f>0</f>
        <v>0</v>
      </c>
      <c r="AH25" s="196">
        <f>0</f>
        <v>0</v>
      </c>
      <c r="AI25" s="196">
        <f>0</f>
        <v>0</v>
      </c>
      <c r="AJ25" s="196">
        <f>0</f>
        <v>0</v>
      </c>
      <c r="AK25" s="196">
        <f>0</f>
        <v>0</v>
      </c>
      <c r="AL25" s="197">
        <f>0</f>
        <v>0</v>
      </c>
    </row>
    <row r="26" spans="1:39" outlineLevel="3">
      <c r="A26" s="264" t="s">
        <v>204</v>
      </c>
      <c r="B26" s="296" t="s">
        <v>243</v>
      </c>
      <c r="C26" s="299" t="s">
        <v>244</v>
      </c>
      <c r="D26" s="300" t="s">
        <v>245</v>
      </c>
      <c r="E26" s="192">
        <f>706724.34</f>
        <v>706724.34</v>
      </c>
      <c r="F26" s="193">
        <f>1118360.5</f>
        <v>1118360.5</v>
      </c>
      <c r="G26" s="193">
        <f>1100000</f>
        <v>1100000</v>
      </c>
      <c r="H26" s="194">
        <f>907630.37</f>
        <v>907630.37</v>
      </c>
      <c r="I26" s="195">
        <f>774500</f>
        <v>774500</v>
      </c>
      <c r="J26" s="196">
        <f>765050</f>
        <v>765050</v>
      </c>
      <c r="K26" s="196">
        <f>646064</f>
        <v>646064</v>
      </c>
      <c r="L26" s="196">
        <f>535538</f>
        <v>535538</v>
      </c>
      <c r="M26" s="196">
        <f>411270</f>
        <v>411270</v>
      </c>
      <c r="N26" s="196">
        <f>286798</f>
        <v>286798</v>
      </c>
      <c r="O26" s="196">
        <f>174023</f>
        <v>174023</v>
      </c>
      <c r="P26" s="196">
        <f>66666</f>
        <v>66666</v>
      </c>
      <c r="Q26" s="196">
        <f>19240</f>
        <v>19240</v>
      </c>
      <c r="R26" s="196">
        <f>7770</f>
        <v>7770</v>
      </c>
      <c r="S26" s="196">
        <f>0</f>
        <v>0</v>
      </c>
      <c r="T26" s="196">
        <f>0</f>
        <v>0</v>
      </c>
      <c r="U26" s="196">
        <f>0</f>
        <v>0</v>
      </c>
      <c r="V26" s="196">
        <f>0</f>
        <v>0</v>
      </c>
      <c r="W26" s="196">
        <f>0</f>
        <v>0</v>
      </c>
      <c r="X26" s="196">
        <f>0</f>
        <v>0</v>
      </c>
      <c r="Y26" s="196">
        <f>0</f>
        <v>0</v>
      </c>
      <c r="Z26" s="196">
        <f>0</f>
        <v>0</v>
      </c>
      <c r="AA26" s="196">
        <f>0</f>
        <v>0</v>
      </c>
      <c r="AB26" s="196">
        <f>0</f>
        <v>0</v>
      </c>
      <c r="AC26" s="196">
        <f>0</f>
        <v>0</v>
      </c>
      <c r="AD26" s="196">
        <f>0</f>
        <v>0</v>
      </c>
      <c r="AE26" s="196">
        <f>0</f>
        <v>0</v>
      </c>
      <c r="AF26" s="196">
        <f>0</f>
        <v>0</v>
      </c>
      <c r="AG26" s="196">
        <f>0</f>
        <v>0</v>
      </c>
      <c r="AH26" s="196">
        <f>0</f>
        <v>0</v>
      </c>
      <c r="AI26" s="196">
        <f>0</f>
        <v>0</v>
      </c>
      <c r="AJ26" s="196">
        <f>0</f>
        <v>0</v>
      </c>
      <c r="AK26" s="196">
        <f>0</f>
        <v>0</v>
      </c>
      <c r="AL26" s="197">
        <f>0</f>
        <v>0</v>
      </c>
    </row>
    <row r="27" spans="1:39" outlineLevel="4">
      <c r="A27" s="264" t="s">
        <v>204</v>
      </c>
      <c r="B27" s="296" t="s">
        <v>246</v>
      </c>
      <c r="C27" s="299" t="s">
        <v>247</v>
      </c>
      <c r="D27" s="301" t="s">
        <v>248</v>
      </c>
      <c r="E27" s="192">
        <f>706724.34</f>
        <v>706724.34</v>
      </c>
      <c r="F27" s="193">
        <f>1118360.5</f>
        <v>1118360.5</v>
      </c>
      <c r="G27" s="193">
        <f>1100000</f>
        <v>1100000</v>
      </c>
      <c r="H27" s="194">
        <f>907630.37</f>
        <v>907630.37</v>
      </c>
      <c r="I27" s="195">
        <f>774500</f>
        <v>774500</v>
      </c>
      <c r="J27" s="196">
        <f>765050</f>
        <v>765050</v>
      </c>
      <c r="K27" s="196">
        <f>646064</f>
        <v>646064</v>
      </c>
      <c r="L27" s="196">
        <f>535538</f>
        <v>535538</v>
      </c>
      <c r="M27" s="196">
        <f>411270</f>
        <v>411270</v>
      </c>
      <c r="N27" s="196">
        <f>286798</f>
        <v>286798</v>
      </c>
      <c r="O27" s="196">
        <f>174023</f>
        <v>174023</v>
      </c>
      <c r="P27" s="196">
        <f>66666</f>
        <v>66666</v>
      </c>
      <c r="Q27" s="196">
        <f>19240</f>
        <v>19240</v>
      </c>
      <c r="R27" s="196">
        <f>7770</f>
        <v>7770</v>
      </c>
      <c r="S27" s="196">
        <f>0</f>
        <v>0</v>
      </c>
      <c r="T27" s="196">
        <f>0</f>
        <v>0</v>
      </c>
      <c r="U27" s="196">
        <f>0</f>
        <v>0</v>
      </c>
      <c r="V27" s="196">
        <f>0</f>
        <v>0</v>
      </c>
      <c r="W27" s="196">
        <f>0</f>
        <v>0</v>
      </c>
      <c r="X27" s="196">
        <f>0</f>
        <v>0</v>
      </c>
      <c r="Y27" s="196">
        <f>0</f>
        <v>0</v>
      </c>
      <c r="Z27" s="196">
        <f>0</f>
        <v>0</v>
      </c>
      <c r="AA27" s="196">
        <f>0</f>
        <v>0</v>
      </c>
      <c r="AB27" s="196">
        <f>0</f>
        <v>0</v>
      </c>
      <c r="AC27" s="196">
        <f>0</f>
        <v>0</v>
      </c>
      <c r="AD27" s="196">
        <f>0</f>
        <v>0</v>
      </c>
      <c r="AE27" s="196">
        <f>0</f>
        <v>0</v>
      </c>
      <c r="AF27" s="196">
        <f>0</f>
        <v>0</v>
      </c>
      <c r="AG27" s="196">
        <f>0</f>
        <v>0</v>
      </c>
      <c r="AH27" s="196">
        <f>0</f>
        <v>0</v>
      </c>
      <c r="AI27" s="196">
        <f>0</f>
        <v>0</v>
      </c>
      <c r="AJ27" s="196">
        <f>0</f>
        <v>0</v>
      </c>
      <c r="AK27" s="196">
        <f>0</f>
        <v>0</v>
      </c>
      <c r="AL27" s="197">
        <f>0</f>
        <v>0</v>
      </c>
    </row>
    <row r="28" spans="1:39" ht="48" outlineLevel="5">
      <c r="A28" s="264" t="s">
        <v>204</v>
      </c>
      <c r="B28" s="296" t="s">
        <v>249</v>
      </c>
      <c r="C28" s="299" t="s">
        <v>250</v>
      </c>
      <c r="D28" s="302" t="s">
        <v>251</v>
      </c>
      <c r="E28" s="192">
        <f>0</f>
        <v>0</v>
      </c>
      <c r="F28" s="193">
        <f>0</f>
        <v>0</v>
      </c>
      <c r="G28" s="193">
        <f>0</f>
        <v>0</v>
      </c>
      <c r="H28" s="194">
        <f>0</f>
        <v>0</v>
      </c>
      <c r="I28" s="195">
        <f>376613.12</f>
        <v>376613.12</v>
      </c>
      <c r="J28" s="196">
        <f>0</f>
        <v>0</v>
      </c>
      <c r="K28" s="196">
        <f>0</f>
        <v>0</v>
      </c>
      <c r="L28" s="196">
        <f>0</f>
        <v>0</v>
      </c>
      <c r="M28" s="196">
        <f>0</f>
        <v>0</v>
      </c>
      <c r="N28" s="196">
        <f>0</f>
        <v>0</v>
      </c>
      <c r="O28" s="196">
        <f>0</f>
        <v>0</v>
      </c>
      <c r="P28" s="196">
        <f>0</f>
        <v>0</v>
      </c>
      <c r="Q28" s="196">
        <f>0</f>
        <v>0</v>
      </c>
      <c r="R28" s="196">
        <f>0</f>
        <v>0</v>
      </c>
      <c r="S28" s="196">
        <f>0</f>
        <v>0</v>
      </c>
      <c r="T28" s="196">
        <f>0</f>
        <v>0</v>
      </c>
      <c r="U28" s="196">
        <f>0</f>
        <v>0</v>
      </c>
      <c r="V28" s="196">
        <f>0</f>
        <v>0</v>
      </c>
      <c r="W28" s="196">
        <f>0</f>
        <v>0</v>
      </c>
      <c r="X28" s="196">
        <f>0</f>
        <v>0</v>
      </c>
      <c r="Y28" s="196">
        <f>0</f>
        <v>0</v>
      </c>
      <c r="Z28" s="196">
        <f>0</f>
        <v>0</v>
      </c>
      <c r="AA28" s="196">
        <f>0</f>
        <v>0</v>
      </c>
      <c r="AB28" s="196">
        <f>0</f>
        <v>0</v>
      </c>
      <c r="AC28" s="196">
        <f>0</f>
        <v>0</v>
      </c>
      <c r="AD28" s="196">
        <f>0</f>
        <v>0</v>
      </c>
      <c r="AE28" s="196">
        <f>0</f>
        <v>0</v>
      </c>
      <c r="AF28" s="196">
        <f>0</f>
        <v>0</v>
      </c>
      <c r="AG28" s="196">
        <f>0</f>
        <v>0</v>
      </c>
      <c r="AH28" s="196">
        <f>0</f>
        <v>0</v>
      </c>
      <c r="AI28" s="196">
        <f>0</f>
        <v>0</v>
      </c>
      <c r="AJ28" s="196">
        <f>0</f>
        <v>0</v>
      </c>
      <c r="AK28" s="196">
        <f>0</f>
        <v>0</v>
      </c>
      <c r="AL28" s="197">
        <f>0</f>
        <v>0</v>
      </c>
    </row>
    <row r="29" spans="1:39" ht="41.25" customHeight="1" outlineLevel="5">
      <c r="A29" s="264" t="s">
        <v>204</v>
      </c>
      <c r="B29" s="296" t="s">
        <v>252</v>
      </c>
      <c r="C29" s="299" t="s">
        <v>253</v>
      </c>
      <c r="D29" s="302" t="s">
        <v>254</v>
      </c>
      <c r="E29" s="192">
        <f>0</f>
        <v>0</v>
      </c>
      <c r="F29" s="193">
        <f>0</f>
        <v>0</v>
      </c>
      <c r="G29" s="193">
        <f>0</f>
        <v>0</v>
      </c>
      <c r="H29" s="194">
        <f>0</f>
        <v>0</v>
      </c>
      <c r="I29" s="195">
        <f>0</f>
        <v>0</v>
      </c>
      <c r="J29" s="196">
        <f>0</f>
        <v>0</v>
      </c>
      <c r="K29" s="196">
        <f>0</f>
        <v>0</v>
      </c>
      <c r="L29" s="196">
        <f>0</f>
        <v>0</v>
      </c>
      <c r="M29" s="196">
        <f>0</f>
        <v>0</v>
      </c>
      <c r="N29" s="196">
        <f>0</f>
        <v>0</v>
      </c>
      <c r="O29" s="196">
        <f>0</f>
        <v>0</v>
      </c>
      <c r="P29" s="196">
        <f>0</f>
        <v>0</v>
      </c>
      <c r="Q29" s="196">
        <f>0</f>
        <v>0</v>
      </c>
      <c r="R29" s="196">
        <f>0</f>
        <v>0</v>
      </c>
      <c r="S29" s="196">
        <f>0</f>
        <v>0</v>
      </c>
      <c r="T29" s="196">
        <f>0</f>
        <v>0</v>
      </c>
      <c r="U29" s="196">
        <f>0</f>
        <v>0</v>
      </c>
      <c r="V29" s="196">
        <f>0</f>
        <v>0</v>
      </c>
      <c r="W29" s="196">
        <f>0</f>
        <v>0</v>
      </c>
      <c r="X29" s="196">
        <f>0</f>
        <v>0</v>
      </c>
      <c r="Y29" s="196">
        <f>0</f>
        <v>0</v>
      </c>
      <c r="Z29" s="196">
        <f>0</f>
        <v>0</v>
      </c>
      <c r="AA29" s="196">
        <f>0</f>
        <v>0</v>
      </c>
      <c r="AB29" s="196">
        <f>0</f>
        <v>0</v>
      </c>
      <c r="AC29" s="196">
        <f>0</f>
        <v>0</v>
      </c>
      <c r="AD29" s="196">
        <f>0</f>
        <v>0</v>
      </c>
      <c r="AE29" s="196">
        <f>0</f>
        <v>0</v>
      </c>
      <c r="AF29" s="196">
        <f>0</f>
        <v>0</v>
      </c>
      <c r="AG29" s="196">
        <f>0</f>
        <v>0</v>
      </c>
      <c r="AH29" s="196">
        <f>0</f>
        <v>0</v>
      </c>
      <c r="AI29" s="196">
        <f>0</f>
        <v>0</v>
      </c>
      <c r="AJ29" s="196">
        <f>0</f>
        <v>0</v>
      </c>
      <c r="AK29" s="196">
        <f>0</f>
        <v>0</v>
      </c>
      <c r="AL29" s="197">
        <f>0</f>
        <v>0</v>
      </c>
    </row>
    <row r="30" spans="1:39" outlineLevel="2">
      <c r="A30" s="264" t="s">
        <v>204</v>
      </c>
      <c r="B30" s="296" t="s">
        <v>255</v>
      </c>
      <c r="C30" s="299" t="s">
        <v>256</v>
      </c>
      <c r="D30" s="298" t="s">
        <v>257</v>
      </c>
      <c r="E30" s="192">
        <f>5535608.14</f>
        <v>5535608.1399999997</v>
      </c>
      <c r="F30" s="193">
        <f>8789862.32</f>
        <v>8789862.3200000003</v>
      </c>
      <c r="G30" s="193">
        <f>5644900</f>
        <v>5644900</v>
      </c>
      <c r="H30" s="194">
        <f>3801182.51</f>
        <v>3801182.51</v>
      </c>
      <c r="I30" s="195">
        <f>2727934.91</f>
        <v>2727934.91</v>
      </c>
      <c r="J30" s="196">
        <f>2041492</f>
        <v>2041492</v>
      </c>
      <c r="K30" s="196">
        <f>2207617</f>
        <v>2207617</v>
      </c>
      <c r="L30" s="196">
        <f>2772481</f>
        <v>2772481</v>
      </c>
      <c r="M30" s="196">
        <f>2895000</f>
        <v>2895000</v>
      </c>
      <c r="N30" s="196">
        <f>3606800</f>
        <v>3606800</v>
      </c>
      <c r="O30" s="196">
        <f>3919436</f>
        <v>3919436</v>
      </c>
      <c r="P30" s="196">
        <f>6846546</f>
        <v>6846546</v>
      </c>
      <c r="Q30" s="196">
        <f>9812424</f>
        <v>9812424</v>
      </c>
      <c r="R30" s="196">
        <f>10918670</f>
        <v>10918670</v>
      </c>
      <c r="S30" s="196">
        <f>0</f>
        <v>0</v>
      </c>
      <c r="T30" s="196">
        <f>0</f>
        <v>0</v>
      </c>
      <c r="U30" s="196">
        <f>0</f>
        <v>0</v>
      </c>
      <c r="V30" s="196">
        <f>0</f>
        <v>0</v>
      </c>
      <c r="W30" s="196">
        <f>0</f>
        <v>0</v>
      </c>
      <c r="X30" s="196">
        <f>0</f>
        <v>0</v>
      </c>
      <c r="Y30" s="196">
        <f>0</f>
        <v>0</v>
      </c>
      <c r="Z30" s="196">
        <f>0</f>
        <v>0</v>
      </c>
      <c r="AA30" s="196">
        <f>0</f>
        <v>0</v>
      </c>
      <c r="AB30" s="196">
        <f>0</f>
        <v>0</v>
      </c>
      <c r="AC30" s="196">
        <f>0</f>
        <v>0</v>
      </c>
      <c r="AD30" s="196">
        <f>0</f>
        <v>0</v>
      </c>
      <c r="AE30" s="196">
        <f>0</f>
        <v>0</v>
      </c>
      <c r="AF30" s="196">
        <f>0</f>
        <v>0</v>
      </c>
      <c r="AG30" s="196">
        <f>0</f>
        <v>0</v>
      </c>
      <c r="AH30" s="196">
        <f>0</f>
        <v>0</v>
      </c>
      <c r="AI30" s="196">
        <f>0</f>
        <v>0</v>
      </c>
      <c r="AJ30" s="196">
        <f>0</f>
        <v>0</v>
      </c>
      <c r="AK30" s="196">
        <f>0</f>
        <v>0</v>
      </c>
      <c r="AL30" s="197">
        <f>0</f>
        <v>0</v>
      </c>
    </row>
    <row r="31" spans="1:39" ht="15" outlineLevel="1">
      <c r="A31" s="264" t="s">
        <v>204</v>
      </c>
      <c r="B31" s="292">
        <v>3</v>
      </c>
      <c r="C31" s="293" t="s">
        <v>258</v>
      </c>
      <c r="D31" s="294" t="s">
        <v>258</v>
      </c>
      <c r="E31" s="186">
        <f>-67953.5</f>
        <v>-67953.5</v>
      </c>
      <c r="F31" s="187">
        <f>-4228860.85</f>
        <v>-4228860.8499999996</v>
      </c>
      <c r="G31" s="187">
        <f>413661</f>
        <v>413661</v>
      </c>
      <c r="H31" s="188">
        <f>361034.95</f>
        <v>361034.95</v>
      </c>
      <c r="I31" s="189">
        <f>1864521</f>
        <v>1864521</v>
      </c>
      <c r="J31" s="190">
        <f>1964521</f>
        <v>1964521</v>
      </c>
      <c r="K31" s="190">
        <f>1964521</f>
        <v>1964521</v>
      </c>
      <c r="L31" s="190">
        <f>1964521</f>
        <v>1964521</v>
      </c>
      <c r="M31" s="190">
        <f>1964521</f>
        <v>1964521</v>
      </c>
      <c r="N31" s="190">
        <f>1964521</f>
        <v>1964521</v>
      </c>
      <c r="O31" s="190">
        <f>1924521</f>
        <v>1924521</v>
      </c>
      <c r="P31" s="190">
        <f>1021127</f>
        <v>1021127</v>
      </c>
      <c r="Q31" s="190">
        <f>369963</f>
        <v>369963</v>
      </c>
      <c r="R31" s="190">
        <f>270045.42</f>
        <v>270045.42</v>
      </c>
      <c r="S31" s="190">
        <f>0</f>
        <v>0</v>
      </c>
      <c r="T31" s="190">
        <f>0</f>
        <v>0</v>
      </c>
      <c r="U31" s="190">
        <f>0</f>
        <v>0</v>
      </c>
      <c r="V31" s="190">
        <f>0</f>
        <v>0</v>
      </c>
      <c r="W31" s="190">
        <f>0</f>
        <v>0</v>
      </c>
      <c r="X31" s="190">
        <f>0</f>
        <v>0</v>
      </c>
      <c r="Y31" s="190">
        <f>0</f>
        <v>0</v>
      </c>
      <c r="Z31" s="190">
        <f>0</f>
        <v>0</v>
      </c>
      <c r="AA31" s="190">
        <f>0</f>
        <v>0</v>
      </c>
      <c r="AB31" s="190">
        <f>0</f>
        <v>0</v>
      </c>
      <c r="AC31" s="190">
        <f>0</f>
        <v>0</v>
      </c>
      <c r="AD31" s="190">
        <f>0</f>
        <v>0</v>
      </c>
      <c r="AE31" s="190">
        <f>0</f>
        <v>0</v>
      </c>
      <c r="AF31" s="190">
        <f>0</f>
        <v>0</v>
      </c>
      <c r="AG31" s="190">
        <f>0</f>
        <v>0</v>
      </c>
      <c r="AH31" s="190">
        <f>0</f>
        <v>0</v>
      </c>
      <c r="AI31" s="190">
        <f>0</f>
        <v>0</v>
      </c>
      <c r="AJ31" s="190">
        <f>0</f>
        <v>0</v>
      </c>
      <c r="AK31" s="190">
        <f>0</f>
        <v>0</v>
      </c>
      <c r="AL31" s="191">
        <f>0</f>
        <v>0</v>
      </c>
      <c r="AM31" s="295"/>
    </row>
    <row r="32" spans="1:39" ht="15" outlineLevel="1">
      <c r="A32" s="264" t="s">
        <v>204</v>
      </c>
      <c r="B32" s="292">
        <v>4</v>
      </c>
      <c r="C32" s="293" t="s">
        <v>259</v>
      </c>
      <c r="D32" s="294" t="s">
        <v>259</v>
      </c>
      <c r="E32" s="186">
        <f>2895310.99</f>
        <v>2895310.99</v>
      </c>
      <c r="F32" s="187">
        <f>6398294.58</f>
        <v>6398294.5800000001</v>
      </c>
      <c r="G32" s="187">
        <f>1180860</f>
        <v>1180860</v>
      </c>
      <c r="H32" s="188">
        <f>1180848.92</f>
        <v>1180848.92</v>
      </c>
      <c r="I32" s="189">
        <f>0</f>
        <v>0</v>
      </c>
      <c r="J32" s="190">
        <f>0</f>
        <v>0</v>
      </c>
      <c r="K32" s="190">
        <f>0</f>
        <v>0</v>
      </c>
      <c r="L32" s="190">
        <f>0</f>
        <v>0</v>
      </c>
      <c r="M32" s="190">
        <f>0</f>
        <v>0</v>
      </c>
      <c r="N32" s="190">
        <f>0</f>
        <v>0</v>
      </c>
      <c r="O32" s="190">
        <f>0</f>
        <v>0</v>
      </c>
      <c r="P32" s="190">
        <f>0</f>
        <v>0</v>
      </c>
      <c r="Q32" s="190">
        <f>0</f>
        <v>0</v>
      </c>
      <c r="R32" s="190">
        <f>0</f>
        <v>0</v>
      </c>
      <c r="S32" s="190">
        <f>0</f>
        <v>0</v>
      </c>
      <c r="T32" s="190">
        <f>0</f>
        <v>0</v>
      </c>
      <c r="U32" s="190">
        <f>0</f>
        <v>0</v>
      </c>
      <c r="V32" s="190">
        <f>0</f>
        <v>0</v>
      </c>
      <c r="W32" s="190">
        <f>0</f>
        <v>0</v>
      </c>
      <c r="X32" s="190">
        <f>0</f>
        <v>0</v>
      </c>
      <c r="Y32" s="190">
        <f>0</f>
        <v>0</v>
      </c>
      <c r="Z32" s="190">
        <f>0</f>
        <v>0</v>
      </c>
      <c r="AA32" s="190">
        <f>0</f>
        <v>0</v>
      </c>
      <c r="AB32" s="190">
        <f>0</f>
        <v>0</v>
      </c>
      <c r="AC32" s="190">
        <f>0</f>
        <v>0</v>
      </c>
      <c r="AD32" s="190">
        <f>0</f>
        <v>0</v>
      </c>
      <c r="AE32" s="190">
        <f>0</f>
        <v>0</v>
      </c>
      <c r="AF32" s="190">
        <f>0</f>
        <v>0</v>
      </c>
      <c r="AG32" s="190">
        <f>0</f>
        <v>0</v>
      </c>
      <c r="AH32" s="190">
        <f>0</f>
        <v>0</v>
      </c>
      <c r="AI32" s="190">
        <f>0</f>
        <v>0</v>
      </c>
      <c r="AJ32" s="190">
        <f>0</f>
        <v>0</v>
      </c>
      <c r="AK32" s="190">
        <f>0</f>
        <v>0</v>
      </c>
      <c r="AL32" s="191">
        <f>0</f>
        <v>0</v>
      </c>
      <c r="AM32" s="295"/>
    </row>
    <row r="33" spans="1:39" outlineLevel="2">
      <c r="A33" s="264" t="s">
        <v>204</v>
      </c>
      <c r="B33" s="296" t="s">
        <v>260</v>
      </c>
      <c r="C33" s="299" t="s">
        <v>261</v>
      </c>
      <c r="D33" s="298" t="s">
        <v>262</v>
      </c>
      <c r="E33" s="192">
        <f>0</f>
        <v>0</v>
      </c>
      <c r="F33" s="193">
        <f>0</f>
        <v>0</v>
      </c>
      <c r="G33" s="193">
        <f>0</f>
        <v>0</v>
      </c>
      <c r="H33" s="194">
        <f>0</f>
        <v>0</v>
      </c>
      <c r="I33" s="195">
        <f>0</f>
        <v>0</v>
      </c>
      <c r="J33" s="196">
        <f>0</f>
        <v>0</v>
      </c>
      <c r="K33" s="196">
        <f>0</f>
        <v>0</v>
      </c>
      <c r="L33" s="196">
        <f>0</f>
        <v>0</v>
      </c>
      <c r="M33" s="196">
        <f>0</f>
        <v>0</v>
      </c>
      <c r="N33" s="196">
        <f>0</f>
        <v>0</v>
      </c>
      <c r="O33" s="196">
        <f>0</f>
        <v>0</v>
      </c>
      <c r="P33" s="196">
        <f>0</f>
        <v>0</v>
      </c>
      <c r="Q33" s="196">
        <f>0</f>
        <v>0</v>
      </c>
      <c r="R33" s="196">
        <f>0</f>
        <v>0</v>
      </c>
      <c r="S33" s="196">
        <f>0</f>
        <v>0</v>
      </c>
      <c r="T33" s="196">
        <f>0</f>
        <v>0</v>
      </c>
      <c r="U33" s="196">
        <f>0</f>
        <v>0</v>
      </c>
      <c r="V33" s="196">
        <f>0</f>
        <v>0</v>
      </c>
      <c r="W33" s="196">
        <f>0</f>
        <v>0</v>
      </c>
      <c r="X33" s="196">
        <f>0</f>
        <v>0</v>
      </c>
      <c r="Y33" s="196">
        <f>0</f>
        <v>0</v>
      </c>
      <c r="Z33" s="196">
        <f>0</f>
        <v>0</v>
      </c>
      <c r="AA33" s="196">
        <f>0</f>
        <v>0</v>
      </c>
      <c r="AB33" s="196">
        <f>0</f>
        <v>0</v>
      </c>
      <c r="AC33" s="196">
        <f>0</f>
        <v>0</v>
      </c>
      <c r="AD33" s="196">
        <f>0</f>
        <v>0</v>
      </c>
      <c r="AE33" s="196">
        <f>0</f>
        <v>0</v>
      </c>
      <c r="AF33" s="196">
        <f>0</f>
        <v>0</v>
      </c>
      <c r="AG33" s="196">
        <f>0</f>
        <v>0</v>
      </c>
      <c r="AH33" s="196">
        <f>0</f>
        <v>0</v>
      </c>
      <c r="AI33" s="196">
        <f>0</f>
        <v>0</v>
      </c>
      <c r="AJ33" s="196">
        <f>0</f>
        <v>0</v>
      </c>
      <c r="AK33" s="196">
        <f>0</f>
        <v>0</v>
      </c>
      <c r="AL33" s="197">
        <f>0</f>
        <v>0</v>
      </c>
    </row>
    <row r="34" spans="1:39" outlineLevel="3">
      <c r="A34" s="264" t="s">
        <v>204</v>
      </c>
      <c r="B34" s="296" t="s">
        <v>263</v>
      </c>
      <c r="C34" s="299" t="s">
        <v>264</v>
      </c>
      <c r="D34" s="300" t="s">
        <v>265</v>
      </c>
      <c r="E34" s="192">
        <f>0</f>
        <v>0</v>
      </c>
      <c r="F34" s="193">
        <f>0</f>
        <v>0</v>
      </c>
      <c r="G34" s="193">
        <f>0</f>
        <v>0</v>
      </c>
      <c r="H34" s="194">
        <f>0</f>
        <v>0</v>
      </c>
      <c r="I34" s="195">
        <f>0</f>
        <v>0</v>
      </c>
      <c r="J34" s="196">
        <f>0</f>
        <v>0</v>
      </c>
      <c r="K34" s="196">
        <f>0</f>
        <v>0</v>
      </c>
      <c r="L34" s="196">
        <f>0</f>
        <v>0</v>
      </c>
      <c r="M34" s="196">
        <f>0</f>
        <v>0</v>
      </c>
      <c r="N34" s="196">
        <f>0</f>
        <v>0</v>
      </c>
      <c r="O34" s="196">
        <f>0</f>
        <v>0</v>
      </c>
      <c r="P34" s="196">
        <f>0</f>
        <v>0</v>
      </c>
      <c r="Q34" s="196">
        <f>0</f>
        <v>0</v>
      </c>
      <c r="R34" s="196">
        <f>0</f>
        <v>0</v>
      </c>
      <c r="S34" s="196">
        <f>0</f>
        <v>0</v>
      </c>
      <c r="T34" s="196">
        <f>0</f>
        <v>0</v>
      </c>
      <c r="U34" s="196">
        <f>0</f>
        <v>0</v>
      </c>
      <c r="V34" s="196">
        <f>0</f>
        <v>0</v>
      </c>
      <c r="W34" s="196">
        <f>0</f>
        <v>0</v>
      </c>
      <c r="X34" s="196">
        <f>0</f>
        <v>0</v>
      </c>
      <c r="Y34" s="196">
        <f>0</f>
        <v>0</v>
      </c>
      <c r="Z34" s="196">
        <f>0</f>
        <v>0</v>
      </c>
      <c r="AA34" s="196">
        <f>0</f>
        <v>0</v>
      </c>
      <c r="AB34" s="196">
        <f>0</f>
        <v>0</v>
      </c>
      <c r="AC34" s="196">
        <f>0</f>
        <v>0</v>
      </c>
      <c r="AD34" s="196">
        <f>0</f>
        <v>0</v>
      </c>
      <c r="AE34" s="196">
        <f>0</f>
        <v>0</v>
      </c>
      <c r="AF34" s="196">
        <f>0</f>
        <v>0</v>
      </c>
      <c r="AG34" s="196">
        <f>0</f>
        <v>0</v>
      </c>
      <c r="AH34" s="196">
        <f>0</f>
        <v>0</v>
      </c>
      <c r="AI34" s="196">
        <f>0</f>
        <v>0</v>
      </c>
      <c r="AJ34" s="196">
        <f>0</f>
        <v>0</v>
      </c>
      <c r="AK34" s="196">
        <f>0</f>
        <v>0</v>
      </c>
      <c r="AL34" s="197">
        <f>0</f>
        <v>0</v>
      </c>
    </row>
    <row r="35" spans="1:39" outlineLevel="2">
      <c r="A35" s="264" t="s">
        <v>204</v>
      </c>
      <c r="B35" s="296" t="s">
        <v>266</v>
      </c>
      <c r="C35" s="299" t="s">
        <v>267</v>
      </c>
      <c r="D35" s="298" t="s">
        <v>268</v>
      </c>
      <c r="E35" s="192">
        <f>0</f>
        <v>0</v>
      </c>
      <c r="F35" s="193">
        <f>1322378</f>
        <v>1322378</v>
      </c>
      <c r="G35" s="193">
        <f>658562</f>
        <v>658562</v>
      </c>
      <c r="H35" s="194">
        <f>658562</f>
        <v>658562</v>
      </c>
      <c r="I35" s="195">
        <f>0</f>
        <v>0</v>
      </c>
      <c r="J35" s="196">
        <f>0</f>
        <v>0</v>
      </c>
      <c r="K35" s="196">
        <f>0</f>
        <v>0</v>
      </c>
      <c r="L35" s="196">
        <f>0</f>
        <v>0</v>
      </c>
      <c r="M35" s="196">
        <f>0</f>
        <v>0</v>
      </c>
      <c r="N35" s="196">
        <f>0</f>
        <v>0</v>
      </c>
      <c r="O35" s="196">
        <f>0</f>
        <v>0</v>
      </c>
      <c r="P35" s="196">
        <f>0</f>
        <v>0</v>
      </c>
      <c r="Q35" s="196">
        <f>0</f>
        <v>0</v>
      </c>
      <c r="R35" s="196">
        <f>0</f>
        <v>0</v>
      </c>
      <c r="S35" s="196">
        <f>0</f>
        <v>0</v>
      </c>
      <c r="T35" s="196">
        <f>0</f>
        <v>0</v>
      </c>
      <c r="U35" s="196">
        <f>0</f>
        <v>0</v>
      </c>
      <c r="V35" s="196">
        <f>0</f>
        <v>0</v>
      </c>
      <c r="W35" s="196">
        <f>0</f>
        <v>0</v>
      </c>
      <c r="X35" s="196">
        <f>0</f>
        <v>0</v>
      </c>
      <c r="Y35" s="196">
        <f>0</f>
        <v>0</v>
      </c>
      <c r="Z35" s="196">
        <f>0</f>
        <v>0</v>
      </c>
      <c r="AA35" s="196">
        <f>0</f>
        <v>0</v>
      </c>
      <c r="AB35" s="196">
        <f>0</f>
        <v>0</v>
      </c>
      <c r="AC35" s="196">
        <f>0</f>
        <v>0</v>
      </c>
      <c r="AD35" s="196">
        <f>0</f>
        <v>0</v>
      </c>
      <c r="AE35" s="196">
        <f>0</f>
        <v>0</v>
      </c>
      <c r="AF35" s="196">
        <f>0</f>
        <v>0</v>
      </c>
      <c r="AG35" s="196">
        <f>0</f>
        <v>0</v>
      </c>
      <c r="AH35" s="196">
        <f>0</f>
        <v>0</v>
      </c>
      <c r="AI35" s="196">
        <f>0</f>
        <v>0</v>
      </c>
      <c r="AJ35" s="196">
        <f>0</f>
        <v>0</v>
      </c>
      <c r="AK35" s="196">
        <f>0</f>
        <v>0</v>
      </c>
      <c r="AL35" s="197">
        <f>0</f>
        <v>0</v>
      </c>
    </row>
    <row r="36" spans="1:39" outlineLevel="3">
      <c r="A36" s="264" t="s">
        <v>204</v>
      </c>
      <c r="B36" s="296" t="s">
        <v>269</v>
      </c>
      <c r="C36" s="299" t="s">
        <v>270</v>
      </c>
      <c r="D36" s="300" t="s">
        <v>265</v>
      </c>
      <c r="E36" s="192">
        <f>0</f>
        <v>0</v>
      </c>
      <c r="F36" s="193">
        <f>0</f>
        <v>0</v>
      </c>
      <c r="G36" s="193">
        <f>0</f>
        <v>0</v>
      </c>
      <c r="H36" s="194">
        <f>0</f>
        <v>0</v>
      </c>
      <c r="I36" s="195">
        <f>0</f>
        <v>0</v>
      </c>
      <c r="J36" s="196">
        <f>0</f>
        <v>0</v>
      </c>
      <c r="K36" s="196">
        <f>0</f>
        <v>0</v>
      </c>
      <c r="L36" s="196">
        <f>0</f>
        <v>0</v>
      </c>
      <c r="M36" s="196">
        <f>0</f>
        <v>0</v>
      </c>
      <c r="N36" s="196">
        <f>0</f>
        <v>0</v>
      </c>
      <c r="O36" s="196">
        <f>0</f>
        <v>0</v>
      </c>
      <c r="P36" s="196">
        <f>0</f>
        <v>0</v>
      </c>
      <c r="Q36" s="196">
        <f>0</f>
        <v>0</v>
      </c>
      <c r="R36" s="196">
        <f>0</f>
        <v>0</v>
      </c>
      <c r="S36" s="196">
        <f>0</f>
        <v>0</v>
      </c>
      <c r="T36" s="196">
        <f>0</f>
        <v>0</v>
      </c>
      <c r="U36" s="196">
        <f>0</f>
        <v>0</v>
      </c>
      <c r="V36" s="196">
        <f>0</f>
        <v>0</v>
      </c>
      <c r="W36" s="196">
        <f>0</f>
        <v>0</v>
      </c>
      <c r="X36" s="196">
        <f>0</f>
        <v>0</v>
      </c>
      <c r="Y36" s="196">
        <f>0</f>
        <v>0</v>
      </c>
      <c r="Z36" s="196">
        <f>0</f>
        <v>0</v>
      </c>
      <c r="AA36" s="196">
        <f>0</f>
        <v>0</v>
      </c>
      <c r="AB36" s="196">
        <f>0</f>
        <v>0</v>
      </c>
      <c r="AC36" s="196">
        <f>0</f>
        <v>0</v>
      </c>
      <c r="AD36" s="196">
        <f>0</f>
        <v>0</v>
      </c>
      <c r="AE36" s="196">
        <f>0</f>
        <v>0</v>
      </c>
      <c r="AF36" s="196">
        <f>0</f>
        <v>0</v>
      </c>
      <c r="AG36" s="196">
        <f>0</f>
        <v>0</v>
      </c>
      <c r="AH36" s="196">
        <f>0</f>
        <v>0</v>
      </c>
      <c r="AI36" s="196">
        <f>0</f>
        <v>0</v>
      </c>
      <c r="AJ36" s="196">
        <f>0</f>
        <v>0</v>
      </c>
      <c r="AK36" s="196">
        <f>0</f>
        <v>0</v>
      </c>
      <c r="AL36" s="197">
        <f>0</f>
        <v>0</v>
      </c>
    </row>
    <row r="37" spans="1:39" outlineLevel="2">
      <c r="A37" s="264" t="s">
        <v>204</v>
      </c>
      <c r="B37" s="296" t="s">
        <v>271</v>
      </c>
      <c r="C37" s="299" t="s">
        <v>272</v>
      </c>
      <c r="D37" s="298" t="s">
        <v>273</v>
      </c>
      <c r="E37" s="192">
        <f>2895310.99</f>
        <v>2895310.99</v>
      </c>
      <c r="F37" s="193">
        <f>5075916.58</f>
        <v>5075916.58</v>
      </c>
      <c r="G37" s="193">
        <f>515035</f>
        <v>515035</v>
      </c>
      <c r="H37" s="194">
        <f>515034.42</f>
        <v>515034.42</v>
      </c>
      <c r="I37" s="195">
        <f>0</f>
        <v>0</v>
      </c>
      <c r="J37" s="196">
        <f>0</f>
        <v>0</v>
      </c>
      <c r="K37" s="196">
        <f>0</f>
        <v>0</v>
      </c>
      <c r="L37" s="196">
        <f>0</f>
        <v>0</v>
      </c>
      <c r="M37" s="196">
        <f>0</f>
        <v>0</v>
      </c>
      <c r="N37" s="196">
        <f>0</f>
        <v>0</v>
      </c>
      <c r="O37" s="196">
        <f>0</f>
        <v>0</v>
      </c>
      <c r="P37" s="196">
        <f>0</f>
        <v>0</v>
      </c>
      <c r="Q37" s="196">
        <f>0</f>
        <v>0</v>
      </c>
      <c r="R37" s="196">
        <f>0</f>
        <v>0</v>
      </c>
      <c r="S37" s="196">
        <f>0</f>
        <v>0</v>
      </c>
      <c r="T37" s="196">
        <f>0</f>
        <v>0</v>
      </c>
      <c r="U37" s="196">
        <f>0</f>
        <v>0</v>
      </c>
      <c r="V37" s="196">
        <f>0</f>
        <v>0</v>
      </c>
      <c r="W37" s="196">
        <f>0</f>
        <v>0</v>
      </c>
      <c r="X37" s="196">
        <f>0</f>
        <v>0</v>
      </c>
      <c r="Y37" s="196">
        <f>0</f>
        <v>0</v>
      </c>
      <c r="Z37" s="196">
        <f>0</f>
        <v>0</v>
      </c>
      <c r="AA37" s="196">
        <f>0</f>
        <v>0</v>
      </c>
      <c r="AB37" s="196">
        <f>0</f>
        <v>0</v>
      </c>
      <c r="AC37" s="196">
        <f>0</f>
        <v>0</v>
      </c>
      <c r="AD37" s="196">
        <f>0</f>
        <v>0</v>
      </c>
      <c r="AE37" s="196">
        <f>0</f>
        <v>0</v>
      </c>
      <c r="AF37" s="196">
        <f>0</f>
        <v>0</v>
      </c>
      <c r="AG37" s="196">
        <f>0</f>
        <v>0</v>
      </c>
      <c r="AH37" s="196">
        <f>0</f>
        <v>0</v>
      </c>
      <c r="AI37" s="196">
        <f>0</f>
        <v>0</v>
      </c>
      <c r="AJ37" s="196">
        <f>0</f>
        <v>0</v>
      </c>
      <c r="AK37" s="196">
        <f>0</f>
        <v>0</v>
      </c>
      <c r="AL37" s="197">
        <f>0</f>
        <v>0</v>
      </c>
    </row>
    <row r="38" spans="1:39" outlineLevel="3">
      <c r="A38" s="264" t="s">
        <v>204</v>
      </c>
      <c r="B38" s="296" t="s">
        <v>274</v>
      </c>
      <c r="C38" s="299" t="s">
        <v>270</v>
      </c>
      <c r="D38" s="300" t="s">
        <v>265</v>
      </c>
      <c r="E38" s="192">
        <f>0</f>
        <v>0</v>
      </c>
      <c r="F38" s="193">
        <f>4228860.85</f>
        <v>4228860.8499999996</v>
      </c>
      <c r="G38" s="193">
        <f>0</f>
        <v>0</v>
      </c>
      <c r="H38" s="194">
        <f>0</f>
        <v>0</v>
      </c>
      <c r="I38" s="195">
        <f>0</f>
        <v>0</v>
      </c>
      <c r="J38" s="196">
        <f>0</f>
        <v>0</v>
      </c>
      <c r="K38" s="196">
        <f>0</f>
        <v>0</v>
      </c>
      <c r="L38" s="196">
        <f>0</f>
        <v>0</v>
      </c>
      <c r="M38" s="196">
        <f>0</f>
        <v>0</v>
      </c>
      <c r="N38" s="196">
        <f>0</f>
        <v>0</v>
      </c>
      <c r="O38" s="196">
        <f>0</f>
        <v>0</v>
      </c>
      <c r="P38" s="196">
        <f>0</f>
        <v>0</v>
      </c>
      <c r="Q38" s="196">
        <f>0</f>
        <v>0</v>
      </c>
      <c r="R38" s="196">
        <f>0</f>
        <v>0</v>
      </c>
      <c r="S38" s="196">
        <f>0</f>
        <v>0</v>
      </c>
      <c r="T38" s="196">
        <f>0</f>
        <v>0</v>
      </c>
      <c r="U38" s="196">
        <f>0</f>
        <v>0</v>
      </c>
      <c r="V38" s="196">
        <f>0</f>
        <v>0</v>
      </c>
      <c r="W38" s="196">
        <f>0</f>
        <v>0</v>
      </c>
      <c r="X38" s="196">
        <f>0</f>
        <v>0</v>
      </c>
      <c r="Y38" s="196">
        <f>0</f>
        <v>0</v>
      </c>
      <c r="Z38" s="196">
        <f>0</f>
        <v>0</v>
      </c>
      <c r="AA38" s="196">
        <f>0</f>
        <v>0</v>
      </c>
      <c r="AB38" s="196">
        <f>0</f>
        <v>0</v>
      </c>
      <c r="AC38" s="196">
        <f>0</f>
        <v>0</v>
      </c>
      <c r="AD38" s="196">
        <f>0</f>
        <v>0</v>
      </c>
      <c r="AE38" s="196">
        <f>0</f>
        <v>0</v>
      </c>
      <c r="AF38" s="196">
        <f>0</f>
        <v>0</v>
      </c>
      <c r="AG38" s="196">
        <f>0</f>
        <v>0</v>
      </c>
      <c r="AH38" s="196">
        <f>0</f>
        <v>0</v>
      </c>
      <c r="AI38" s="196">
        <f>0</f>
        <v>0</v>
      </c>
      <c r="AJ38" s="196">
        <f>0</f>
        <v>0</v>
      </c>
      <c r="AK38" s="196">
        <f>0</f>
        <v>0</v>
      </c>
      <c r="AL38" s="197">
        <f>0</f>
        <v>0</v>
      </c>
    </row>
    <row r="39" spans="1:39" outlineLevel="2">
      <c r="A39" s="264" t="s">
        <v>204</v>
      </c>
      <c r="B39" s="296" t="s">
        <v>275</v>
      </c>
      <c r="C39" s="299" t="s">
        <v>276</v>
      </c>
      <c r="D39" s="298" t="s">
        <v>276</v>
      </c>
      <c r="E39" s="192">
        <f>0</f>
        <v>0</v>
      </c>
      <c r="F39" s="193">
        <f>0</f>
        <v>0</v>
      </c>
      <c r="G39" s="193">
        <f>7263</f>
        <v>7263</v>
      </c>
      <c r="H39" s="194">
        <f>7252.5</f>
        <v>7252.5</v>
      </c>
      <c r="I39" s="195">
        <f>0</f>
        <v>0</v>
      </c>
      <c r="J39" s="196">
        <f>0</f>
        <v>0</v>
      </c>
      <c r="K39" s="196">
        <f>0</f>
        <v>0</v>
      </c>
      <c r="L39" s="196">
        <f>0</f>
        <v>0</v>
      </c>
      <c r="M39" s="196">
        <f>0</f>
        <v>0</v>
      </c>
      <c r="N39" s="196">
        <f>0</f>
        <v>0</v>
      </c>
      <c r="O39" s="196">
        <f>0</f>
        <v>0</v>
      </c>
      <c r="P39" s="196">
        <f>0</f>
        <v>0</v>
      </c>
      <c r="Q39" s="196">
        <f>0</f>
        <v>0</v>
      </c>
      <c r="R39" s="196">
        <f>0</f>
        <v>0</v>
      </c>
      <c r="S39" s="196">
        <f>0</f>
        <v>0</v>
      </c>
      <c r="T39" s="196">
        <f>0</f>
        <v>0</v>
      </c>
      <c r="U39" s="196">
        <f>0</f>
        <v>0</v>
      </c>
      <c r="V39" s="196">
        <f>0</f>
        <v>0</v>
      </c>
      <c r="W39" s="196">
        <f>0</f>
        <v>0</v>
      </c>
      <c r="X39" s="196">
        <f>0</f>
        <v>0</v>
      </c>
      <c r="Y39" s="196">
        <f>0</f>
        <v>0</v>
      </c>
      <c r="Z39" s="196">
        <f>0</f>
        <v>0</v>
      </c>
      <c r="AA39" s="196">
        <f>0</f>
        <v>0</v>
      </c>
      <c r="AB39" s="196">
        <f>0</f>
        <v>0</v>
      </c>
      <c r="AC39" s="196">
        <f>0</f>
        <v>0</v>
      </c>
      <c r="AD39" s="196">
        <f>0</f>
        <v>0</v>
      </c>
      <c r="AE39" s="196">
        <f>0</f>
        <v>0</v>
      </c>
      <c r="AF39" s="196">
        <f>0</f>
        <v>0</v>
      </c>
      <c r="AG39" s="196">
        <f>0</f>
        <v>0</v>
      </c>
      <c r="AH39" s="196">
        <f>0</f>
        <v>0</v>
      </c>
      <c r="AI39" s="196">
        <f>0</f>
        <v>0</v>
      </c>
      <c r="AJ39" s="196">
        <f>0</f>
        <v>0</v>
      </c>
      <c r="AK39" s="196">
        <f>0</f>
        <v>0</v>
      </c>
      <c r="AL39" s="197">
        <f>0</f>
        <v>0</v>
      </c>
    </row>
    <row r="40" spans="1:39" outlineLevel="3">
      <c r="A40" s="264" t="s">
        <v>204</v>
      </c>
      <c r="B40" s="296" t="s">
        <v>277</v>
      </c>
      <c r="C40" s="299" t="s">
        <v>270</v>
      </c>
      <c r="D40" s="300" t="s">
        <v>265</v>
      </c>
      <c r="E40" s="192">
        <f>0</f>
        <v>0</v>
      </c>
      <c r="F40" s="193">
        <f>0</f>
        <v>0</v>
      </c>
      <c r="G40" s="193">
        <f>0</f>
        <v>0</v>
      </c>
      <c r="H40" s="194">
        <f>0</f>
        <v>0</v>
      </c>
      <c r="I40" s="195">
        <f>0</f>
        <v>0</v>
      </c>
      <c r="J40" s="196">
        <f>0</f>
        <v>0</v>
      </c>
      <c r="K40" s="196">
        <f>0</f>
        <v>0</v>
      </c>
      <c r="L40" s="196">
        <f>0</f>
        <v>0</v>
      </c>
      <c r="M40" s="196">
        <f>0</f>
        <v>0</v>
      </c>
      <c r="N40" s="196">
        <f>0</f>
        <v>0</v>
      </c>
      <c r="O40" s="196">
        <f>0</f>
        <v>0</v>
      </c>
      <c r="P40" s="196">
        <f>0</f>
        <v>0</v>
      </c>
      <c r="Q40" s="196">
        <f>0</f>
        <v>0</v>
      </c>
      <c r="R40" s="196">
        <f>0</f>
        <v>0</v>
      </c>
      <c r="S40" s="196">
        <f>0</f>
        <v>0</v>
      </c>
      <c r="T40" s="196">
        <f>0</f>
        <v>0</v>
      </c>
      <c r="U40" s="196">
        <f>0</f>
        <v>0</v>
      </c>
      <c r="V40" s="196">
        <f>0</f>
        <v>0</v>
      </c>
      <c r="W40" s="196">
        <f>0</f>
        <v>0</v>
      </c>
      <c r="X40" s="196">
        <f>0</f>
        <v>0</v>
      </c>
      <c r="Y40" s="196">
        <f>0</f>
        <v>0</v>
      </c>
      <c r="Z40" s="196">
        <f>0</f>
        <v>0</v>
      </c>
      <c r="AA40" s="196">
        <f>0</f>
        <v>0</v>
      </c>
      <c r="AB40" s="196">
        <f>0</f>
        <v>0</v>
      </c>
      <c r="AC40" s="196">
        <f>0</f>
        <v>0</v>
      </c>
      <c r="AD40" s="196">
        <f>0</f>
        <v>0</v>
      </c>
      <c r="AE40" s="196">
        <f>0</f>
        <v>0</v>
      </c>
      <c r="AF40" s="196">
        <f>0</f>
        <v>0</v>
      </c>
      <c r="AG40" s="196">
        <f>0</f>
        <v>0</v>
      </c>
      <c r="AH40" s="196">
        <f>0</f>
        <v>0</v>
      </c>
      <c r="AI40" s="196">
        <f>0</f>
        <v>0</v>
      </c>
      <c r="AJ40" s="196">
        <f>0</f>
        <v>0</v>
      </c>
      <c r="AK40" s="196">
        <f>0</f>
        <v>0</v>
      </c>
      <c r="AL40" s="197">
        <f>0</f>
        <v>0</v>
      </c>
    </row>
    <row r="41" spans="1:39" ht="15" outlineLevel="1">
      <c r="A41" s="264" t="s">
        <v>204</v>
      </c>
      <c r="B41" s="292">
        <v>5</v>
      </c>
      <c r="C41" s="293" t="s">
        <v>278</v>
      </c>
      <c r="D41" s="294" t="s">
        <v>278</v>
      </c>
      <c r="E41" s="186">
        <f>1504978.76</f>
        <v>1504978.76</v>
      </c>
      <c r="F41" s="187">
        <f>1503605.29</f>
        <v>1503605.29</v>
      </c>
      <c r="G41" s="187">
        <f>1594521</f>
        <v>1594521</v>
      </c>
      <c r="H41" s="188">
        <f>1594516</f>
        <v>1594516</v>
      </c>
      <c r="I41" s="189">
        <f>1864521</f>
        <v>1864521</v>
      </c>
      <c r="J41" s="190">
        <f t="shared" ref="J41:N42" si="1">1964521</f>
        <v>1964521</v>
      </c>
      <c r="K41" s="190">
        <f t="shared" si="1"/>
        <v>1964521</v>
      </c>
      <c r="L41" s="190">
        <f t="shared" si="1"/>
        <v>1964521</v>
      </c>
      <c r="M41" s="190">
        <f t="shared" si="1"/>
        <v>1964521</v>
      </c>
      <c r="N41" s="190">
        <f t="shared" si="1"/>
        <v>1964521</v>
      </c>
      <c r="O41" s="190">
        <f>1924521</f>
        <v>1924521</v>
      </c>
      <c r="P41" s="190">
        <f>1021127</f>
        <v>1021127</v>
      </c>
      <c r="Q41" s="190">
        <f>369963</f>
        <v>369963</v>
      </c>
      <c r="R41" s="190">
        <f>270045.42</f>
        <v>270045.42</v>
      </c>
      <c r="S41" s="190">
        <f>0</f>
        <v>0</v>
      </c>
      <c r="T41" s="190">
        <f>0</f>
        <v>0</v>
      </c>
      <c r="U41" s="190">
        <f>0</f>
        <v>0</v>
      </c>
      <c r="V41" s="190">
        <f>0</f>
        <v>0</v>
      </c>
      <c r="W41" s="190">
        <f>0</f>
        <v>0</v>
      </c>
      <c r="X41" s="190">
        <f>0</f>
        <v>0</v>
      </c>
      <c r="Y41" s="190">
        <f>0</f>
        <v>0</v>
      </c>
      <c r="Z41" s="190">
        <f>0</f>
        <v>0</v>
      </c>
      <c r="AA41" s="190">
        <f>0</f>
        <v>0</v>
      </c>
      <c r="AB41" s="190">
        <f>0</f>
        <v>0</v>
      </c>
      <c r="AC41" s="190">
        <f>0</f>
        <v>0</v>
      </c>
      <c r="AD41" s="190">
        <f>0</f>
        <v>0</v>
      </c>
      <c r="AE41" s="190">
        <f>0</f>
        <v>0</v>
      </c>
      <c r="AF41" s="190">
        <f>0</f>
        <v>0</v>
      </c>
      <c r="AG41" s="190">
        <f>0</f>
        <v>0</v>
      </c>
      <c r="AH41" s="190">
        <f>0</f>
        <v>0</v>
      </c>
      <c r="AI41" s="190">
        <f>0</f>
        <v>0</v>
      </c>
      <c r="AJ41" s="190">
        <f>0</f>
        <v>0</v>
      </c>
      <c r="AK41" s="190">
        <f>0</f>
        <v>0</v>
      </c>
      <c r="AL41" s="191">
        <f>0</f>
        <v>0</v>
      </c>
      <c r="AM41" s="295"/>
    </row>
    <row r="42" spans="1:39" ht="24" outlineLevel="2">
      <c r="A42" s="264" t="s">
        <v>204</v>
      </c>
      <c r="B42" s="296" t="s">
        <v>279</v>
      </c>
      <c r="C42" s="299" t="s">
        <v>280</v>
      </c>
      <c r="D42" s="298" t="s">
        <v>281</v>
      </c>
      <c r="E42" s="192">
        <f>1504978.76</f>
        <v>1504978.76</v>
      </c>
      <c r="F42" s="193">
        <f>1503605.29</f>
        <v>1503605.29</v>
      </c>
      <c r="G42" s="193">
        <f>1594521</f>
        <v>1594521</v>
      </c>
      <c r="H42" s="194">
        <f>1594516</f>
        <v>1594516</v>
      </c>
      <c r="I42" s="195">
        <f>1864521</f>
        <v>1864521</v>
      </c>
      <c r="J42" s="196">
        <f t="shared" si="1"/>
        <v>1964521</v>
      </c>
      <c r="K42" s="196">
        <f t="shared" si="1"/>
        <v>1964521</v>
      </c>
      <c r="L42" s="196">
        <f t="shared" si="1"/>
        <v>1964521</v>
      </c>
      <c r="M42" s="196">
        <f t="shared" si="1"/>
        <v>1964521</v>
      </c>
      <c r="N42" s="196">
        <f t="shared" si="1"/>
        <v>1964521</v>
      </c>
      <c r="O42" s="196">
        <f>1924521</f>
        <v>1924521</v>
      </c>
      <c r="P42" s="196">
        <f>1021127</f>
        <v>1021127</v>
      </c>
      <c r="Q42" s="196">
        <f>369963</f>
        <v>369963</v>
      </c>
      <c r="R42" s="196">
        <f>270045.42</f>
        <v>270045.42</v>
      </c>
      <c r="S42" s="196">
        <f>0</f>
        <v>0</v>
      </c>
      <c r="T42" s="196">
        <f>0</f>
        <v>0</v>
      </c>
      <c r="U42" s="196">
        <f>0</f>
        <v>0</v>
      </c>
      <c r="V42" s="196">
        <f>0</f>
        <v>0</v>
      </c>
      <c r="W42" s="196">
        <f>0</f>
        <v>0</v>
      </c>
      <c r="X42" s="196">
        <f>0</f>
        <v>0</v>
      </c>
      <c r="Y42" s="196">
        <f>0</f>
        <v>0</v>
      </c>
      <c r="Z42" s="196">
        <f>0</f>
        <v>0</v>
      </c>
      <c r="AA42" s="196">
        <f>0</f>
        <v>0</v>
      </c>
      <c r="AB42" s="196">
        <f>0</f>
        <v>0</v>
      </c>
      <c r="AC42" s="196">
        <f>0</f>
        <v>0</v>
      </c>
      <c r="AD42" s="196">
        <f>0</f>
        <v>0</v>
      </c>
      <c r="AE42" s="196">
        <f>0</f>
        <v>0</v>
      </c>
      <c r="AF42" s="196">
        <f>0</f>
        <v>0</v>
      </c>
      <c r="AG42" s="196">
        <f>0</f>
        <v>0</v>
      </c>
      <c r="AH42" s="196">
        <f>0</f>
        <v>0</v>
      </c>
      <c r="AI42" s="196">
        <f>0</f>
        <v>0</v>
      </c>
      <c r="AJ42" s="196">
        <f>0</f>
        <v>0</v>
      </c>
      <c r="AK42" s="196">
        <f>0</f>
        <v>0</v>
      </c>
      <c r="AL42" s="197">
        <f>0</f>
        <v>0</v>
      </c>
    </row>
    <row r="43" spans="1:39" ht="26.25" customHeight="1" outlineLevel="3">
      <c r="A43" s="264" t="s">
        <v>204</v>
      </c>
      <c r="B43" s="296" t="s">
        <v>282</v>
      </c>
      <c r="C43" s="299" t="s">
        <v>283</v>
      </c>
      <c r="D43" s="300" t="s">
        <v>284</v>
      </c>
      <c r="E43" s="192">
        <f>160000</f>
        <v>160000</v>
      </c>
      <c r="F43" s="193">
        <f>401152.51</f>
        <v>401152.51</v>
      </c>
      <c r="G43" s="193">
        <f>318623</f>
        <v>318623</v>
      </c>
      <c r="H43" s="194">
        <f>318623.24</f>
        <v>318623.24</v>
      </c>
      <c r="I43" s="195">
        <f>564826.16</f>
        <v>564826.16</v>
      </c>
      <c r="J43" s="196">
        <f>0</f>
        <v>0</v>
      </c>
      <c r="K43" s="196">
        <f>0</f>
        <v>0</v>
      </c>
      <c r="L43" s="196">
        <f>0</f>
        <v>0</v>
      </c>
      <c r="M43" s="196">
        <f>0</f>
        <v>0</v>
      </c>
      <c r="N43" s="196">
        <f>0</f>
        <v>0</v>
      </c>
      <c r="O43" s="196">
        <f>0</f>
        <v>0</v>
      </c>
      <c r="P43" s="196">
        <f>0</f>
        <v>0</v>
      </c>
      <c r="Q43" s="196">
        <f>0</f>
        <v>0</v>
      </c>
      <c r="R43" s="196">
        <f>0</f>
        <v>0</v>
      </c>
      <c r="S43" s="196">
        <f>0</f>
        <v>0</v>
      </c>
      <c r="T43" s="196">
        <f>0</f>
        <v>0</v>
      </c>
      <c r="U43" s="196">
        <f>0</f>
        <v>0</v>
      </c>
      <c r="V43" s="196">
        <f>0</f>
        <v>0</v>
      </c>
      <c r="W43" s="196">
        <f>0</f>
        <v>0</v>
      </c>
      <c r="X43" s="196">
        <f>0</f>
        <v>0</v>
      </c>
      <c r="Y43" s="196">
        <f>0</f>
        <v>0</v>
      </c>
      <c r="Z43" s="196">
        <f>0</f>
        <v>0</v>
      </c>
      <c r="AA43" s="196">
        <f>0</f>
        <v>0</v>
      </c>
      <c r="AB43" s="196">
        <f>0</f>
        <v>0</v>
      </c>
      <c r="AC43" s="196">
        <f>0</f>
        <v>0</v>
      </c>
      <c r="AD43" s="196">
        <f>0</f>
        <v>0</v>
      </c>
      <c r="AE43" s="196">
        <f>0</f>
        <v>0</v>
      </c>
      <c r="AF43" s="196">
        <f>0</f>
        <v>0</v>
      </c>
      <c r="AG43" s="196">
        <f>0</f>
        <v>0</v>
      </c>
      <c r="AH43" s="196">
        <f>0</f>
        <v>0</v>
      </c>
      <c r="AI43" s="196">
        <f>0</f>
        <v>0</v>
      </c>
      <c r="AJ43" s="196">
        <f>0</f>
        <v>0</v>
      </c>
      <c r="AK43" s="196">
        <f>0</f>
        <v>0</v>
      </c>
      <c r="AL43" s="197">
        <f>0</f>
        <v>0</v>
      </c>
    </row>
    <row r="44" spans="1:39" ht="27.75" customHeight="1" outlineLevel="4">
      <c r="A44" s="264" t="s">
        <v>204</v>
      </c>
      <c r="B44" s="296" t="s">
        <v>285</v>
      </c>
      <c r="C44" s="299" t="s">
        <v>286</v>
      </c>
      <c r="D44" s="301" t="s">
        <v>287</v>
      </c>
      <c r="E44" s="192">
        <f>160000</f>
        <v>160000</v>
      </c>
      <c r="F44" s="193">
        <f>401152.51</f>
        <v>401152.51</v>
      </c>
      <c r="G44" s="193">
        <f>318623</f>
        <v>318623</v>
      </c>
      <c r="H44" s="194">
        <f>318623.24</f>
        <v>318623.24</v>
      </c>
      <c r="I44" s="195">
        <f>564826.16</f>
        <v>564826.16</v>
      </c>
      <c r="J44" s="196">
        <f>0</f>
        <v>0</v>
      </c>
      <c r="K44" s="196">
        <f>0</f>
        <v>0</v>
      </c>
      <c r="L44" s="196">
        <f>0</f>
        <v>0</v>
      </c>
      <c r="M44" s="196">
        <f>0</f>
        <v>0</v>
      </c>
      <c r="N44" s="196">
        <f>0</f>
        <v>0</v>
      </c>
      <c r="O44" s="196">
        <f>0</f>
        <v>0</v>
      </c>
      <c r="P44" s="196">
        <f>0</f>
        <v>0</v>
      </c>
      <c r="Q44" s="196">
        <f>0</f>
        <v>0</v>
      </c>
      <c r="R44" s="196">
        <f>0</f>
        <v>0</v>
      </c>
      <c r="S44" s="196">
        <f>0</f>
        <v>0</v>
      </c>
      <c r="T44" s="196">
        <f>0</f>
        <v>0</v>
      </c>
      <c r="U44" s="196">
        <f>0</f>
        <v>0</v>
      </c>
      <c r="V44" s="196">
        <f>0</f>
        <v>0</v>
      </c>
      <c r="W44" s="196">
        <f>0</f>
        <v>0</v>
      </c>
      <c r="X44" s="196">
        <f>0</f>
        <v>0</v>
      </c>
      <c r="Y44" s="196">
        <f>0</f>
        <v>0</v>
      </c>
      <c r="Z44" s="196">
        <f>0</f>
        <v>0</v>
      </c>
      <c r="AA44" s="196">
        <f>0</f>
        <v>0</v>
      </c>
      <c r="AB44" s="196">
        <f>0</f>
        <v>0</v>
      </c>
      <c r="AC44" s="196">
        <f>0</f>
        <v>0</v>
      </c>
      <c r="AD44" s="196">
        <f>0</f>
        <v>0</v>
      </c>
      <c r="AE44" s="196">
        <f>0</f>
        <v>0</v>
      </c>
      <c r="AF44" s="196">
        <f>0</f>
        <v>0</v>
      </c>
      <c r="AG44" s="196">
        <f>0</f>
        <v>0</v>
      </c>
      <c r="AH44" s="196">
        <f>0</f>
        <v>0</v>
      </c>
      <c r="AI44" s="196">
        <f>0</f>
        <v>0</v>
      </c>
      <c r="AJ44" s="196">
        <f>0</f>
        <v>0</v>
      </c>
      <c r="AK44" s="196">
        <f>0</f>
        <v>0</v>
      </c>
      <c r="AL44" s="197">
        <f>0</f>
        <v>0</v>
      </c>
    </row>
    <row r="45" spans="1:39" ht="24.75" customHeight="1" outlineLevel="4">
      <c r="A45" s="264" t="s">
        <v>204</v>
      </c>
      <c r="B45" s="296" t="s">
        <v>288</v>
      </c>
      <c r="C45" s="299" t="s">
        <v>289</v>
      </c>
      <c r="D45" s="301" t="s">
        <v>290</v>
      </c>
      <c r="E45" s="192">
        <f>0</f>
        <v>0</v>
      </c>
      <c r="F45" s="193">
        <f>0</f>
        <v>0</v>
      </c>
      <c r="G45" s="193">
        <f>0</f>
        <v>0</v>
      </c>
      <c r="H45" s="194">
        <f>0</f>
        <v>0</v>
      </c>
      <c r="I45" s="195">
        <f>0</f>
        <v>0</v>
      </c>
      <c r="J45" s="196">
        <f>0</f>
        <v>0</v>
      </c>
      <c r="K45" s="196">
        <f>0</f>
        <v>0</v>
      </c>
      <c r="L45" s="196">
        <f>0</f>
        <v>0</v>
      </c>
      <c r="M45" s="196">
        <f>0</f>
        <v>0</v>
      </c>
      <c r="N45" s="196">
        <f>0</f>
        <v>0</v>
      </c>
      <c r="O45" s="196">
        <f>0</f>
        <v>0</v>
      </c>
      <c r="P45" s="196">
        <f>0</f>
        <v>0</v>
      </c>
      <c r="Q45" s="196">
        <f>0</f>
        <v>0</v>
      </c>
      <c r="R45" s="196">
        <f>0</f>
        <v>0</v>
      </c>
      <c r="S45" s="196">
        <f>0</f>
        <v>0</v>
      </c>
      <c r="T45" s="196">
        <f>0</f>
        <v>0</v>
      </c>
      <c r="U45" s="196">
        <f>0</f>
        <v>0</v>
      </c>
      <c r="V45" s="196">
        <f>0</f>
        <v>0</v>
      </c>
      <c r="W45" s="196">
        <f>0</f>
        <v>0</v>
      </c>
      <c r="X45" s="196">
        <f>0</f>
        <v>0</v>
      </c>
      <c r="Y45" s="196">
        <f>0</f>
        <v>0</v>
      </c>
      <c r="Z45" s="196">
        <f>0</f>
        <v>0</v>
      </c>
      <c r="AA45" s="196">
        <f>0</f>
        <v>0</v>
      </c>
      <c r="AB45" s="196">
        <f>0</f>
        <v>0</v>
      </c>
      <c r="AC45" s="196">
        <f>0</f>
        <v>0</v>
      </c>
      <c r="AD45" s="196">
        <f>0</f>
        <v>0</v>
      </c>
      <c r="AE45" s="196">
        <f>0</f>
        <v>0</v>
      </c>
      <c r="AF45" s="196">
        <f>0</f>
        <v>0</v>
      </c>
      <c r="AG45" s="196">
        <f>0</f>
        <v>0</v>
      </c>
      <c r="AH45" s="196">
        <f>0</f>
        <v>0</v>
      </c>
      <c r="AI45" s="196">
        <f>0</f>
        <v>0</v>
      </c>
      <c r="AJ45" s="196">
        <f>0</f>
        <v>0</v>
      </c>
      <c r="AK45" s="196">
        <f>0</f>
        <v>0</v>
      </c>
      <c r="AL45" s="197">
        <f>0</f>
        <v>0</v>
      </c>
    </row>
    <row r="46" spans="1:39" ht="22.5" customHeight="1" outlineLevel="4">
      <c r="A46" s="264" t="s">
        <v>204</v>
      </c>
      <c r="B46" s="296" t="s">
        <v>291</v>
      </c>
      <c r="C46" s="299" t="s">
        <v>292</v>
      </c>
      <c r="D46" s="301" t="s">
        <v>293</v>
      </c>
      <c r="E46" s="192">
        <f>0</f>
        <v>0</v>
      </c>
      <c r="F46" s="193">
        <f>0</f>
        <v>0</v>
      </c>
      <c r="G46" s="193">
        <f>0</f>
        <v>0</v>
      </c>
      <c r="H46" s="194">
        <f>0</f>
        <v>0</v>
      </c>
      <c r="I46" s="195">
        <f>0</f>
        <v>0</v>
      </c>
      <c r="J46" s="196">
        <f>0</f>
        <v>0</v>
      </c>
      <c r="K46" s="196">
        <f>0</f>
        <v>0</v>
      </c>
      <c r="L46" s="196">
        <f>0</f>
        <v>0</v>
      </c>
      <c r="M46" s="196">
        <f>0</f>
        <v>0</v>
      </c>
      <c r="N46" s="196">
        <f>0</f>
        <v>0</v>
      </c>
      <c r="O46" s="196">
        <f>0</f>
        <v>0</v>
      </c>
      <c r="P46" s="196">
        <f>0</f>
        <v>0</v>
      </c>
      <c r="Q46" s="196">
        <f>0</f>
        <v>0</v>
      </c>
      <c r="R46" s="196">
        <f>0</f>
        <v>0</v>
      </c>
      <c r="S46" s="196">
        <f>0</f>
        <v>0</v>
      </c>
      <c r="T46" s="196">
        <f>0</f>
        <v>0</v>
      </c>
      <c r="U46" s="196">
        <f>0</f>
        <v>0</v>
      </c>
      <c r="V46" s="196">
        <f>0</f>
        <v>0</v>
      </c>
      <c r="W46" s="196">
        <f>0</f>
        <v>0</v>
      </c>
      <c r="X46" s="196">
        <f>0</f>
        <v>0</v>
      </c>
      <c r="Y46" s="196">
        <f>0</f>
        <v>0</v>
      </c>
      <c r="Z46" s="196">
        <f>0</f>
        <v>0</v>
      </c>
      <c r="AA46" s="196">
        <f>0</f>
        <v>0</v>
      </c>
      <c r="AB46" s="196">
        <f>0</f>
        <v>0</v>
      </c>
      <c r="AC46" s="196">
        <f>0</f>
        <v>0</v>
      </c>
      <c r="AD46" s="196">
        <f>0</f>
        <v>0</v>
      </c>
      <c r="AE46" s="196">
        <f>0</f>
        <v>0</v>
      </c>
      <c r="AF46" s="196">
        <f>0</f>
        <v>0</v>
      </c>
      <c r="AG46" s="196">
        <f>0</f>
        <v>0</v>
      </c>
      <c r="AH46" s="196">
        <f>0</f>
        <v>0</v>
      </c>
      <c r="AI46" s="196">
        <f>0</f>
        <v>0</v>
      </c>
      <c r="AJ46" s="196">
        <f>0</f>
        <v>0</v>
      </c>
      <c r="AK46" s="196">
        <f>0</f>
        <v>0</v>
      </c>
      <c r="AL46" s="197">
        <f>0</f>
        <v>0</v>
      </c>
    </row>
    <row r="47" spans="1:39" outlineLevel="2">
      <c r="B47" s="296" t="s">
        <v>294</v>
      </c>
      <c r="C47" s="299" t="s">
        <v>295</v>
      </c>
      <c r="D47" s="298" t="s">
        <v>295</v>
      </c>
      <c r="E47" s="192">
        <f>0</f>
        <v>0</v>
      </c>
      <c r="F47" s="193">
        <f>0</f>
        <v>0</v>
      </c>
      <c r="G47" s="193">
        <f>0</f>
        <v>0</v>
      </c>
      <c r="H47" s="194">
        <f>0</f>
        <v>0</v>
      </c>
      <c r="I47" s="195">
        <f>0</f>
        <v>0</v>
      </c>
      <c r="J47" s="196">
        <f>0</f>
        <v>0</v>
      </c>
      <c r="K47" s="196">
        <f>0</f>
        <v>0</v>
      </c>
      <c r="L47" s="196">
        <f>0</f>
        <v>0</v>
      </c>
      <c r="M47" s="196">
        <f>0</f>
        <v>0</v>
      </c>
      <c r="N47" s="196">
        <f>0</f>
        <v>0</v>
      </c>
      <c r="O47" s="196">
        <f>0</f>
        <v>0</v>
      </c>
      <c r="P47" s="196">
        <f>0</f>
        <v>0</v>
      </c>
      <c r="Q47" s="196">
        <f>0</f>
        <v>0</v>
      </c>
      <c r="R47" s="196">
        <f>0</f>
        <v>0</v>
      </c>
      <c r="S47" s="196">
        <f>0</f>
        <v>0</v>
      </c>
      <c r="T47" s="196">
        <f>0</f>
        <v>0</v>
      </c>
      <c r="U47" s="196">
        <f>0</f>
        <v>0</v>
      </c>
      <c r="V47" s="196">
        <f>0</f>
        <v>0</v>
      </c>
      <c r="W47" s="196">
        <f>0</f>
        <v>0</v>
      </c>
      <c r="X47" s="196">
        <f>0</f>
        <v>0</v>
      </c>
      <c r="Y47" s="196">
        <f>0</f>
        <v>0</v>
      </c>
      <c r="Z47" s="196">
        <f>0</f>
        <v>0</v>
      </c>
      <c r="AA47" s="196">
        <f>0</f>
        <v>0</v>
      </c>
      <c r="AB47" s="196">
        <f>0</f>
        <v>0</v>
      </c>
      <c r="AC47" s="196">
        <f>0</f>
        <v>0</v>
      </c>
      <c r="AD47" s="196">
        <f>0</f>
        <v>0</v>
      </c>
      <c r="AE47" s="196">
        <f>0</f>
        <v>0</v>
      </c>
      <c r="AF47" s="196">
        <f>0</f>
        <v>0</v>
      </c>
      <c r="AG47" s="196">
        <f>0</f>
        <v>0</v>
      </c>
      <c r="AH47" s="196">
        <f>0</f>
        <v>0</v>
      </c>
      <c r="AI47" s="196">
        <f>0</f>
        <v>0</v>
      </c>
      <c r="AJ47" s="196">
        <f>0</f>
        <v>0</v>
      </c>
      <c r="AK47" s="196">
        <f>0</f>
        <v>0</v>
      </c>
      <c r="AL47" s="197">
        <f>0</f>
        <v>0</v>
      </c>
    </row>
    <row r="48" spans="1:39" ht="15" outlineLevel="1">
      <c r="A48" s="264" t="s">
        <v>204</v>
      </c>
      <c r="B48" s="292">
        <v>6</v>
      </c>
      <c r="C48" s="293" t="s">
        <v>296</v>
      </c>
      <c r="D48" s="294" t="s">
        <v>296</v>
      </c>
      <c r="E48" s="186">
        <f>16516633.6</f>
        <v>16516633.6</v>
      </c>
      <c r="F48" s="187">
        <f>19551041.62</f>
        <v>19551041.620000001</v>
      </c>
      <c r="G48" s="187">
        <f>17650590</f>
        <v>17650590</v>
      </c>
      <c r="H48" s="188">
        <f>17851172.01</f>
        <v>17851172.010000002</v>
      </c>
      <c r="I48" s="189">
        <f>15106620.55</f>
        <v>15106620.550000001</v>
      </c>
      <c r="J48" s="190">
        <f>12462645.14</f>
        <v>12462645.140000001</v>
      </c>
      <c r="K48" s="190">
        <f>9818670.42</f>
        <v>9818670.4199999999</v>
      </c>
      <c r="L48" s="190">
        <f>7525684.42</f>
        <v>7525684.4199999999</v>
      </c>
      <c r="M48" s="190">
        <f>5550177.42</f>
        <v>5550177.4199999999</v>
      </c>
      <c r="N48" s="190">
        <f>3585656.42</f>
        <v>3585656.42</v>
      </c>
      <c r="O48" s="190">
        <f>1661135.42</f>
        <v>1661135.42</v>
      </c>
      <c r="P48" s="190">
        <f>640008.42</f>
        <v>640008.42000000004</v>
      </c>
      <c r="Q48" s="190">
        <f>270045.42</f>
        <v>270045.42</v>
      </c>
      <c r="R48" s="190">
        <f>0</f>
        <v>0</v>
      </c>
      <c r="S48" s="190">
        <f>0</f>
        <v>0</v>
      </c>
      <c r="T48" s="190">
        <f>0</f>
        <v>0</v>
      </c>
      <c r="U48" s="190">
        <f>0</f>
        <v>0</v>
      </c>
      <c r="V48" s="190">
        <f>0</f>
        <v>0</v>
      </c>
      <c r="W48" s="190">
        <f>0</f>
        <v>0</v>
      </c>
      <c r="X48" s="190">
        <f>0</f>
        <v>0</v>
      </c>
      <c r="Y48" s="190">
        <f>0</f>
        <v>0</v>
      </c>
      <c r="Z48" s="190">
        <f>0</f>
        <v>0</v>
      </c>
      <c r="AA48" s="190">
        <f>0</f>
        <v>0</v>
      </c>
      <c r="AB48" s="190">
        <f>0</f>
        <v>0</v>
      </c>
      <c r="AC48" s="190">
        <f>0</f>
        <v>0</v>
      </c>
      <c r="AD48" s="190">
        <f>0</f>
        <v>0</v>
      </c>
      <c r="AE48" s="190">
        <f>0</f>
        <v>0</v>
      </c>
      <c r="AF48" s="190">
        <f>0</f>
        <v>0</v>
      </c>
      <c r="AG48" s="190">
        <f>0</f>
        <v>0</v>
      </c>
      <c r="AH48" s="190">
        <f>0</f>
        <v>0</v>
      </c>
      <c r="AI48" s="190">
        <f>0</f>
        <v>0</v>
      </c>
      <c r="AJ48" s="190">
        <f>0</f>
        <v>0</v>
      </c>
      <c r="AK48" s="190">
        <f>0</f>
        <v>0</v>
      </c>
      <c r="AL48" s="191">
        <f>0</f>
        <v>0</v>
      </c>
      <c r="AM48" s="295"/>
    </row>
    <row r="49" spans="1:39" ht="34.5" customHeight="1" outlineLevel="1">
      <c r="B49" s="292">
        <v>7</v>
      </c>
      <c r="C49" s="293" t="s">
        <v>297</v>
      </c>
      <c r="D49" s="294" t="s">
        <v>297</v>
      </c>
      <c r="E49" s="186">
        <f>0</f>
        <v>0</v>
      </c>
      <c r="F49" s="187">
        <f>0</f>
        <v>0</v>
      </c>
      <c r="G49" s="187">
        <f>0</f>
        <v>0</v>
      </c>
      <c r="H49" s="188">
        <f>0</f>
        <v>0</v>
      </c>
      <c r="I49" s="189">
        <f>0</f>
        <v>0</v>
      </c>
      <c r="J49" s="190">
        <f>0</f>
        <v>0</v>
      </c>
      <c r="K49" s="190">
        <f>0</f>
        <v>0</v>
      </c>
      <c r="L49" s="190">
        <f>0</f>
        <v>0</v>
      </c>
      <c r="M49" s="190">
        <f>0</f>
        <v>0</v>
      </c>
      <c r="N49" s="190">
        <f>0</f>
        <v>0</v>
      </c>
      <c r="O49" s="190">
        <f>0</f>
        <v>0</v>
      </c>
      <c r="P49" s="190">
        <f>0</f>
        <v>0</v>
      </c>
      <c r="Q49" s="190">
        <f>0</f>
        <v>0</v>
      </c>
      <c r="R49" s="190">
        <f>0</f>
        <v>0</v>
      </c>
      <c r="S49" s="190">
        <f>0</f>
        <v>0</v>
      </c>
      <c r="T49" s="190">
        <f>0</f>
        <v>0</v>
      </c>
      <c r="U49" s="190">
        <f>0</f>
        <v>0</v>
      </c>
      <c r="V49" s="190">
        <f>0</f>
        <v>0</v>
      </c>
      <c r="W49" s="190">
        <f>0</f>
        <v>0</v>
      </c>
      <c r="X49" s="190">
        <f>0</f>
        <v>0</v>
      </c>
      <c r="Y49" s="190">
        <f>0</f>
        <v>0</v>
      </c>
      <c r="Z49" s="190">
        <f>0</f>
        <v>0</v>
      </c>
      <c r="AA49" s="190">
        <f>0</f>
        <v>0</v>
      </c>
      <c r="AB49" s="190">
        <f>0</f>
        <v>0</v>
      </c>
      <c r="AC49" s="190">
        <f>0</f>
        <v>0</v>
      </c>
      <c r="AD49" s="190">
        <f>0</f>
        <v>0</v>
      </c>
      <c r="AE49" s="190">
        <f>0</f>
        <v>0</v>
      </c>
      <c r="AF49" s="190">
        <f>0</f>
        <v>0</v>
      </c>
      <c r="AG49" s="190">
        <f>0</f>
        <v>0</v>
      </c>
      <c r="AH49" s="190">
        <f>0</f>
        <v>0</v>
      </c>
      <c r="AI49" s="190">
        <f>0</f>
        <v>0</v>
      </c>
      <c r="AJ49" s="190">
        <f>0</f>
        <v>0</v>
      </c>
      <c r="AK49" s="190">
        <f>0</f>
        <v>0</v>
      </c>
      <c r="AL49" s="191">
        <f>0</f>
        <v>0</v>
      </c>
      <c r="AM49" s="295"/>
    </row>
    <row r="50" spans="1:39" ht="14.25" customHeight="1" outlineLevel="1">
      <c r="B50" s="292">
        <v>8</v>
      </c>
      <c r="C50" s="293" t="s">
        <v>298</v>
      </c>
      <c r="D50" s="294" t="s">
        <v>298</v>
      </c>
      <c r="E50" s="198" t="s">
        <v>204</v>
      </c>
      <c r="F50" s="199" t="s">
        <v>204</v>
      </c>
      <c r="G50" s="199" t="s">
        <v>204</v>
      </c>
      <c r="H50" s="200" t="s">
        <v>204</v>
      </c>
      <c r="I50" s="201" t="s">
        <v>204</v>
      </c>
      <c r="J50" s="202" t="s">
        <v>204</v>
      </c>
      <c r="K50" s="202" t="s">
        <v>204</v>
      </c>
      <c r="L50" s="202" t="s">
        <v>204</v>
      </c>
      <c r="M50" s="202" t="s">
        <v>204</v>
      </c>
      <c r="N50" s="202" t="s">
        <v>204</v>
      </c>
      <c r="O50" s="202" t="s">
        <v>204</v>
      </c>
      <c r="P50" s="202" t="s">
        <v>204</v>
      </c>
      <c r="Q50" s="202" t="s">
        <v>204</v>
      </c>
      <c r="R50" s="202" t="s">
        <v>204</v>
      </c>
      <c r="S50" s="202" t="s">
        <v>204</v>
      </c>
      <c r="T50" s="202" t="s">
        <v>204</v>
      </c>
      <c r="U50" s="202" t="s">
        <v>204</v>
      </c>
      <c r="V50" s="202" t="s">
        <v>204</v>
      </c>
      <c r="W50" s="202" t="s">
        <v>204</v>
      </c>
      <c r="X50" s="202" t="s">
        <v>204</v>
      </c>
      <c r="Y50" s="202" t="s">
        <v>204</v>
      </c>
      <c r="Z50" s="202" t="s">
        <v>204</v>
      </c>
      <c r="AA50" s="202" t="s">
        <v>204</v>
      </c>
      <c r="AB50" s="202" t="s">
        <v>204</v>
      </c>
      <c r="AC50" s="202" t="s">
        <v>204</v>
      </c>
      <c r="AD50" s="202" t="s">
        <v>204</v>
      </c>
      <c r="AE50" s="202" t="s">
        <v>204</v>
      </c>
      <c r="AF50" s="202" t="s">
        <v>204</v>
      </c>
      <c r="AG50" s="202" t="s">
        <v>204</v>
      </c>
      <c r="AH50" s="202" t="s">
        <v>204</v>
      </c>
      <c r="AI50" s="202" t="s">
        <v>204</v>
      </c>
      <c r="AJ50" s="202" t="s">
        <v>204</v>
      </c>
      <c r="AK50" s="202" t="s">
        <v>204</v>
      </c>
      <c r="AL50" s="203" t="s">
        <v>204</v>
      </c>
      <c r="AM50" s="295"/>
    </row>
    <row r="51" spans="1:39" outlineLevel="2">
      <c r="B51" s="296" t="s">
        <v>299</v>
      </c>
      <c r="C51" s="299" t="s">
        <v>300</v>
      </c>
      <c r="D51" s="298" t="s">
        <v>301</v>
      </c>
      <c r="E51" s="192">
        <f>1280803.67</f>
        <v>1280803.67</v>
      </c>
      <c r="F51" s="193">
        <f>1638980.14</f>
        <v>1638980.14</v>
      </c>
      <c r="G51" s="193">
        <f>948815</f>
        <v>948815</v>
      </c>
      <c r="H51" s="194">
        <f>1649640.47</f>
        <v>1649640.47</v>
      </c>
      <c r="I51" s="195">
        <f>1743545.91</f>
        <v>1743545.91</v>
      </c>
      <c r="J51" s="196">
        <f>2307714</f>
        <v>2307714</v>
      </c>
      <c r="K51" s="196">
        <f>2702138</f>
        <v>2702138</v>
      </c>
      <c r="L51" s="196">
        <f>3195002</f>
        <v>3195002</v>
      </c>
      <c r="M51" s="196">
        <f>3634521</f>
        <v>3634521</v>
      </c>
      <c r="N51" s="196">
        <f>4321321</f>
        <v>4321321</v>
      </c>
      <c r="O51" s="196">
        <f>4883957</f>
        <v>4883957</v>
      </c>
      <c r="P51" s="196">
        <f>5467673</f>
        <v>5467673</v>
      </c>
      <c r="Q51" s="196">
        <f>6082387</f>
        <v>6082387</v>
      </c>
      <c r="R51" s="196">
        <f>6588715.42</f>
        <v>6588715.4199999999</v>
      </c>
      <c r="S51" s="196">
        <f>0</f>
        <v>0</v>
      </c>
      <c r="T51" s="196">
        <f>0</f>
        <v>0</v>
      </c>
      <c r="U51" s="196">
        <f>0</f>
        <v>0</v>
      </c>
      <c r="V51" s="196">
        <f>0</f>
        <v>0</v>
      </c>
      <c r="W51" s="196">
        <f>0</f>
        <v>0</v>
      </c>
      <c r="X51" s="196">
        <f>0</f>
        <v>0</v>
      </c>
      <c r="Y51" s="196">
        <f>0</f>
        <v>0</v>
      </c>
      <c r="Z51" s="196">
        <f>0</f>
        <v>0</v>
      </c>
      <c r="AA51" s="196">
        <f>0</f>
        <v>0</v>
      </c>
      <c r="AB51" s="196">
        <f>0</f>
        <v>0</v>
      </c>
      <c r="AC51" s="196">
        <f>0</f>
        <v>0</v>
      </c>
      <c r="AD51" s="196">
        <f>0</f>
        <v>0</v>
      </c>
      <c r="AE51" s="196">
        <f>0</f>
        <v>0</v>
      </c>
      <c r="AF51" s="196">
        <f>0</f>
        <v>0</v>
      </c>
      <c r="AG51" s="196">
        <f>0</f>
        <v>0</v>
      </c>
      <c r="AH51" s="196">
        <f>0</f>
        <v>0</v>
      </c>
      <c r="AI51" s="196">
        <f>0</f>
        <v>0</v>
      </c>
      <c r="AJ51" s="196">
        <f>0</f>
        <v>0</v>
      </c>
      <c r="AK51" s="196">
        <f>0</f>
        <v>0</v>
      </c>
      <c r="AL51" s="197">
        <f>0</f>
        <v>0</v>
      </c>
    </row>
    <row r="52" spans="1:39" ht="26.25" customHeight="1" outlineLevel="2">
      <c r="B52" s="296" t="s">
        <v>302</v>
      </c>
      <c r="C52" s="299" t="s">
        <v>303</v>
      </c>
      <c r="D52" s="298" t="s">
        <v>304</v>
      </c>
      <c r="E52" s="192">
        <f>1280803.67</f>
        <v>1280803.67</v>
      </c>
      <c r="F52" s="193">
        <f>2961358.14</f>
        <v>2961358.14</v>
      </c>
      <c r="G52" s="193">
        <f>1607377</f>
        <v>1607377</v>
      </c>
      <c r="H52" s="194">
        <f>2308202.47</f>
        <v>2308202.4700000002</v>
      </c>
      <c r="I52" s="195">
        <f>1743545.91</f>
        <v>1743545.91</v>
      </c>
      <c r="J52" s="196">
        <f>2307714</f>
        <v>2307714</v>
      </c>
      <c r="K52" s="196">
        <f>2702138</f>
        <v>2702138</v>
      </c>
      <c r="L52" s="196">
        <f>3195002</f>
        <v>3195002</v>
      </c>
      <c r="M52" s="196">
        <f>3634521</f>
        <v>3634521</v>
      </c>
      <c r="N52" s="196">
        <f>4321321</f>
        <v>4321321</v>
      </c>
      <c r="O52" s="196">
        <f>4883957</f>
        <v>4883957</v>
      </c>
      <c r="P52" s="196">
        <f>5467673</f>
        <v>5467673</v>
      </c>
      <c r="Q52" s="196">
        <f>6082387</f>
        <v>6082387</v>
      </c>
      <c r="R52" s="196">
        <f>6588715.42</f>
        <v>6588715.4199999999</v>
      </c>
      <c r="S52" s="196">
        <f>0</f>
        <v>0</v>
      </c>
      <c r="T52" s="196">
        <f>0</f>
        <v>0</v>
      </c>
      <c r="U52" s="196">
        <f>0</f>
        <v>0</v>
      </c>
      <c r="V52" s="196">
        <f>0</f>
        <v>0</v>
      </c>
      <c r="W52" s="196">
        <f>0</f>
        <v>0</v>
      </c>
      <c r="X52" s="196">
        <f>0</f>
        <v>0</v>
      </c>
      <c r="Y52" s="196">
        <f>0</f>
        <v>0</v>
      </c>
      <c r="Z52" s="196">
        <f>0</f>
        <v>0</v>
      </c>
      <c r="AA52" s="196">
        <f>0</f>
        <v>0</v>
      </c>
      <c r="AB52" s="196">
        <f>0</f>
        <v>0</v>
      </c>
      <c r="AC52" s="196">
        <f>0</f>
        <v>0</v>
      </c>
      <c r="AD52" s="196">
        <f>0</f>
        <v>0</v>
      </c>
      <c r="AE52" s="196">
        <f>0</f>
        <v>0</v>
      </c>
      <c r="AF52" s="196">
        <f>0</f>
        <v>0</v>
      </c>
      <c r="AG52" s="196">
        <f>0</f>
        <v>0</v>
      </c>
      <c r="AH52" s="196">
        <f>0</f>
        <v>0</v>
      </c>
      <c r="AI52" s="196">
        <f>0</f>
        <v>0</v>
      </c>
      <c r="AJ52" s="196">
        <f>0</f>
        <v>0</v>
      </c>
      <c r="AK52" s="196">
        <f>0</f>
        <v>0</v>
      </c>
      <c r="AL52" s="197">
        <f>0</f>
        <v>0</v>
      </c>
    </row>
    <row r="53" spans="1:39" ht="15" outlineLevel="1">
      <c r="A53" s="264" t="s">
        <v>204</v>
      </c>
      <c r="B53" s="292">
        <v>9</v>
      </c>
      <c r="C53" s="293" t="s">
        <v>305</v>
      </c>
      <c r="D53" s="294" t="s">
        <v>305</v>
      </c>
      <c r="E53" s="198" t="s">
        <v>204</v>
      </c>
      <c r="F53" s="199" t="s">
        <v>204</v>
      </c>
      <c r="G53" s="199" t="s">
        <v>204</v>
      </c>
      <c r="H53" s="200" t="s">
        <v>204</v>
      </c>
      <c r="I53" s="201" t="s">
        <v>204</v>
      </c>
      <c r="J53" s="202" t="s">
        <v>204</v>
      </c>
      <c r="K53" s="202" t="s">
        <v>204</v>
      </c>
      <c r="L53" s="202" t="s">
        <v>204</v>
      </c>
      <c r="M53" s="202" t="s">
        <v>204</v>
      </c>
      <c r="N53" s="202" t="s">
        <v>204</v>
      </c>
      <c r="O53" s="202" t="s">
        <v>204</v>
      </c>
      <c r="P53" s="202" t="s">
        <v>204</v>
      </c>
      <c r="Q53" s="202" t="s">
        <v>204</v>
      </c>
      <c r="R53" s="202" t="s">
        <v>204</v>
      </c>
      <c r="S53" s="202" t="s">
        <v>204</v>
      </c>
      <c r="T53" s="202" t="s">
        <v>204</v>
      </c>
      <c r="U53" s="202" t="s">
        <v>204</v>
      </c>
      <c r="V53" s="202" t="s">
        <v>204</v>
      </c>
      <c r="W53" s="202" t="s">
        <v>204</v>
      </c>
      <c r="X53" s="202" t="s">
        <v>204</v>
      </c>
      <c r="Y53" s="202" t="s">
        <v>204</v>
      </c>
      <c r="Z53" s="202" t="s">
        <v>204</v>
      </c>
      <c r="AA53" s="202" t="s">
        <v>204</v>
      </c>
      <c r="AB53" s="202" t="s">
        <v>204</v>
      </c>
      <c r="AC53" s="202" t="s">
        <v>204</v>
      </c>
      <c r="AD53" s="202" t="s">
        <v>204</v>
      </c>
      <c r="AE53" s="202" t="s">
        <v>204</v>
      </c>
      <c r="AF53" s="202" t="s">
        <v>204</v>
      </c>
      <c r="AG53" s="202" t="s">
        <v>204</v>
      </c>
      <c r="AH53" s="202" t="s">
        <v>204</v>
      </c>
      <c r="AI53" s="202" t="s">
        <v>204</v>
      </c>
      <c r="AJ53" s="202" t="s">
        <v>204</v>
      </c>
      <c r="AK53" s="202" t="s">
        <v>204</v>
      </c>
      <c r="AL53" s="203" t="s">
        <v>204</v>
      </c>
      <c r="AM53" s="295"/>
    </row>
    <row r="54" spans="1:39" ht="49.5" customHeight="1" outlineLevel="2">
      <c r="A54" s="264" t="s">
        <v>204</v>
      </c>
      <c r="B54" s="296" t="s">
        <v>306</v>
      </c>
      <c r="C54" s="299" t="s">
        <v>307</v>
      </c>
      <c r="D54" s="298" t="s">
        <v>308</v>
      </c>
      <c r="E54" s="204">
        <f>0.1181</f>
        <v>0.1181</v>
      </c>
      <c r="F54" s="205">
        <f>0.1295</f>
        <v>0.1295</v>
      </c>
      <c r="G54" s="205">
        <f>0.1116</f>
        <v>0.1116</v>
      </c>
      <c r="H54" s="206">
        <f>0.124</f>
        <v>0.124</v>
      </c>
      <c r="I54" s="207">
        <f>0.1209</f>
        <v>0.12089999999999999</v>
      </c>
      <c r="J54" s="208">
        <f>0.1317</f>
        <v>0.13170000000000001</v>
      </c>
      <c r="K54" s="208">
        <f>0.1229</f>
        <v>0.1229</v>
      </c>
      <c r="L54" s="208">
        <f>0.1131</f>
        <v>0.11310000000000001</v>
      </c>
      <c r="M54" s="208">
        <f>0.1049</f>
        <v>0.10489999999999999</v>
      </c>
      <c r="N54" s="208">
        <f>0.0949</f>
        <v>9.4899999999999998E-2</v>
      </c>
      <c r="O54" s="208">
        <f>0.0861</f>
        <v>8.6099999999999996E-2</v>
      </c>
      <c r="P54" s="208">
        <f>0.0406</f>
        <v>4.0599999999999997E-2</v>
      </c>
      <c r="Q54" s="208">
        <f>0.0132</f>
        <v>1.32E-2</v>
      </c>
      <c r="R54" s="208">
        <f>0.009</f>
        <v>8.9999999999999993E-3</v>
      </c>
      <c r="S54" s="208">
        <f>0</f>
        <v>0</v>
      </c>
      <c r="T54" s="208">
        <f>0</f>
        <v>0</v>
      </c>
      <c r="U54" s="208">
        <f>0</f>
        <v>0</v>
      </c>
      <c r="V54" s="208">
        <f>0</f>
        <v>0</v>
      </c>
      <c r="W54" s="208">
        <f>0</f>
        <v>0</v>
      </c>
      <c r="X54" s="208">
        <f>0</f>
        <v>0</v>
      </c>
      <c r="Y54" s="208">
        <f>0</f>
        <v>0</v>
      </c>
      <c r="Z54" s="208">
        <f>0</f>
        <v>0</v>
      </c>
      <c r="AA54" s="208">
        <f>0</f>
        <v>0</v>
      </c>
      <c r="AB54" s="208">
        <f>0</f>
        <v>0</v>
      </c>
      <c r="AC54" s="208">
        <f>0</f>
        <v>0</v>
      </c>
      <c r="AD54" s="208">
        <f>0</f>
        <v>0</v>
      </c>
      <c r="AE54" s="208">
        <f>0</f>
        <v>0</v>
      </c>
      <c r="AF54" s="208">
        <f>0</f>
        <v>0</v>
      </c>
      <c r="AG54" s="208">
        <f>0</f>
        <v>0</v>
      </c>
      <c r="AH54" s="208">
        <f>0</f>
        <v>0</v>
      </c>
      <c r="AI54" s="208">
        <f>0</f>
        <v>0</v>
      </c>
      <c r="AJ54" s="208">
        <f>0</f>
        <v>0</v>
      </c>
      <c r="AK54" s="208">
        <f>0</f>
        <v>0</v>
      </c>
      <c r="AL54" s="209">
        <f>0</f>
        <v>0</v>
      </c>
    </row>
    <row r="55" spans="1:39" ht="52.5" customHeight="1" outlineLevel="2">
      <c r="A55" s="264" t="s">
        <v>204</v>
      </c>
      <c r="B55" s="296" t="s">
        <v>309</v>
      </c>
      <c r="C55" s="299" t="s">
        <v>310</v>
      </c>
      <c r="D55" s="298" t="s">
        <v>311</v>
      </c>
      <c r="E55" s="204">
        <f>0.1095</f>
        <v>0.1095</v>
      </c>
      <c r="F55" s="205">
        <f>0.1097</f>
        <v>0.10970000000000001</v>
      </c>
      <c r="G55" s="205">
        <f>0.0984</f>
        <v>9.8400000000000001E-2</v>
      </c>
      <c r="H55" s="206">
        <f>0.1082</f>
        <v>0.1082</v>
      </c>
      <c r="I55" s="207">
        <f>0.0777</f>
        <v>7.7700000000000005E-2</v>
      </c>
      <c r="J55" s="208">
        <f>0.1317</f>
        <v>0.13170000000000001</v>
      </c>
      <c r="K55" s="208">
        <f>0.1229</f>
        <v>0.1229</v>
      </c>
      <c r="L55" s="208">
        <f>0.1131</f>
        <v>0.11310000000000001</v>
      </c>
      <c r="M55" s="208">
        <f>0.1049</f>
        <v>0.10489999999999999</v>
      </c>
      <c r="N55" s="208">
        <f>0.0949</f>
        <v>9.4899999999999998E-2</v>
      </c>
      <c r="O55" s="208">
        <f>0.0861</f>
        <v>8.6099999999999996E-2</v>
      </c>
      <c r="P55" s="208">
        <f>0.0406</f>
        <v>4.0599999999999997E-2</v>
      </c>
      <c r="Q55" s="208">
        <f>0.0132</f>
        <v>1.32E-2</v>
      </c>
      <c r="R55" s="208">
        <f>0.009</f>
        <v>8.9999999999999993E-3</v>
      </c>
      <c r="S55" s="208">
        <f>0</f>
        <v>0</v>
      </c>
      <c r="T55" s="208">
        <f>0</f>
        <v>0</v>
      </c>
      <c r="U55" s="208">
        <f>0</f>
        <v>0</v>
      </c>
      <c r="V55" s="208">
        <f>0</f>
        <v>0</v>
      </c>
      <c r="W55" s="208">
        <f>0</f>
        <v>0</v>
      </c>
      <c r="X55" s="208">
        <f>0</f>
        <v>0</v>
      </c>
      <c r="Y55" s="208">
        <f>0</f>
        <v>0</v>
      </c>
      <c r="Z55" s="208">
        <f>0</f>
        <v>0</v>
      </c>
      <c r="AA55" s="208">
        <f>0</f>
        <v>0</v>
      </c>
      <c r="AB55" s="208">
        <f>0</f>
        <v>0</v>
      </c>
      <c r="AC55" s="208">
        <f>0</f>
        <v>0</v>
      </c>
      <c r="AD55" s="208">
        <f>0</f>
        <v>0</v>
      </c>
      <c r="AE55" s="208">
        <f>0</f>
        <v>0</v>
      </c>
      <c r="AF55" s="208">
        <f>0</f>
        <v>0</v>
      </c>
      <c r="AG55" s="208">
        <f>0</f>
        <v>0</v>
      </c>
      <c r="AH55" s="208">
        <f>0</f>
        <v>0</v>
      </c>
      <c r="AI55" s="208">
        <f>0</f>
        <v>0</v>
      </c>
      <c r="AJ55" s="208">
        <f>0</f>
        <v>0</v>
      </c>
      <c r="AK55" s="208">
        <f>0</f>
        <v>0</v>
      </c>
      <c r="AL55" s="209">
        <f>0</f>
        <v>0</v>
      </c>
    </row>
    <row r="56" spans="1:39" ht="39.75" customHeight="1" outlineLevel="2">
      <c r="A56" s="264" t="s">
        <v>204</v>
      </c>
      <c r="B56" s="296" t="s">
        <v>312</v>
      </c>
      <c r="C56" s="299" t="s">
        <v>313</v>
      </c>
      <c r="D56" s="298" t="s">
        <v>314</v>
      </c>
      <c r="E56" s="192">
        <f>0</f>
        <v>0</v>
      </c>
      <c r="F56" s="193">
        <f>0</f>
        <v>0</v>
      </c>
      <c r="G56" s="193">
        <f>0</f>
        <v>0</v>
      </c>
      <c r="H56" s="194">
        <f>0</f>
        <v>0</v>
      </c>
      <c r="I56" s="195">
        <f>0</f>
        <v>0</v>
      </c>
      <c r="J56" s="196">
        <f>0</f>
        <v>0</v>
      </c>
      <c r="K56" s="196">
        <f>0</f>
        <v>0</v>
      </c>
      <c r="L56" s="196">
        <f>0</f>
        <v>0</v>
      </c>
      <c r="M56" s="196">
        <f>0</f>
        <v>0</v>
      </c>
      <c r="N56" s="196">
        <f>0</f>
        <v>0</v>
      </c>
      <c r="O56" s="196">
        <f>0</f>
        <v>0</v>
      </c>
      <c r="P56" s="196">
        <f>0</f>
        <v>0</v>
      </c>
      <c r="Q56" s="196">
        <f>0</f>
        <v>0</v>
      </c>
      <c r="R56" s="196">
        <f>0</f>
        <v>0</v>
      </c>
      <c r="S56" s="196">
        <f>0</f>
        <v>0</v>
      </c>
      <c r="T56" s="196">
        <f>0</f>
        <v>0</v>
      </c>
      <c r="U56" s="196">
        <f>0</f>
        <v>0</v>
      </c>
      <c r="V56" s="196">
        <f>0</f>
        <v>0</v>
      </c>
      <c r="W56" s="196">
        <f>0</f>
        <v>0</v>
      </c>
      <c r="X56" s="196">
        <f>0</f>
        <v>0</v>
      </c>
      <c r="Y56" s="196">
        <f>0</f>
        <v>0</v>
      </c>
      <c r="Z56" s="196">
        <f>0</f>
        <v>0</v>
      </c>
      <c r="AA56" s="196">
        <f>0</f>
        <v>0</v>
      </c>
      <c r="AB56" s="196">
        <f>0</f>
        <v>0</v>
      </c>
      <c r="AC56" s="196">
        <f>0</f>
        <v>0</v>
      </c>
      <c r="AD56" s="196">
        <f>0</f>
        <v>0</v>
      </c>
      <c r="AE56" s="196">
        <f>0</f>
        <v>0</v>
      </c>
      <c r="AF56" s="196">
        <f>0</f>
        <v>0</v>
      </c>
      <c r="AG56" s="196">
        <f>0</f>
        <v>0</v>
      </c>
      <c r="AH56" s="196">
        <f>0</f>
        <v>0</v>
      </c>
      <c r="AI56" s="196">
        <f>0</f>
        <v>0</v>
      </c>
      <c r="AJ56" s="196">
        <f>0</f>
        <v>0</v>
      </c>
      <c r="AK56" s="196">
        <f>0</f>
        <v>0</v>
      </c>
      <c r="AL56" s="197">
        <f>0</f>
        <v>0</v>
      </c>
    </row>
    <row r="57" spans="1:39" ht="52.5" customHeight="1" outlineLevel="2">
      <c r="A57" s="264" t="s">
        <v>204</v>
      </c>
      <c r="B57" s="296" t="s">
        <v>315</v>
      </c>
      <c r="C57" s="299" t="s">
        <v>316</v>
      </c>
      <c r="D57" s="298" t="s">
        <v>317</v>
      </c>
      <c r="E57" s="204">
        <f>0.1095</f>
        <v>0.1095</v>
      </c>
      <c r="F57" s="205">
        <f>0.1097</f>
        <v>0.10970000000000001</v>
      </c>
      <c r="G57" s="205">
        <f>0.0984</f>
        <v>9.8400000000000001E-2</v>
      </c>
      <c r="H57" s="206">
        <f>0.1082</f>
        <v>0.1082</v>
      </c>
      <c r="I57" s="207">
        <f>0.0777</f>
        <v>7.7700000000000005E-2</v>
      </c>
      <c r="J57" s="208">
        <f>0.1317</f>
        <v>0.13170000000000001</v>
      </c>
      <c r="K57" s="208">
        <f>0.1229</f>
        <v>0.1229</v>
      </c>
      <c r="L57" s="208">
        <f>0.1131</f>
        <v>0.11310000000000001</v>
      </c>
      <c r="M57" s="208">
        <f>0.1049</f>
        <v>0.10489999999999999</v>
      </c>
      <c r="N57" s="208">
        <f>0.0949</f>
        <v>9.4899999999999998E-2</v>
      </c>
      <c r="O57" s="208">
        <f>0.0861</f>
        <v>8.6099999999999996E-2</v>
      </c>
      <c r="P57" s="208">
        <f>0.0406</f>
        <v>4.0599999999999997E-2</v>
      </c>
      <c r="Q57" s="208">
        <f>0.0132</f>
        <v>1.32E-2</v>
      </c>
      <c r="R57" s="208">
        <f>0.009</f>
        <v>8.9999999999999993E-3</v>
      </c>
      <c r="S57" s="208">
        <f>0</f>
        <v>0</v>
      </c>
      <c r="T57" s="208">
        <f>0</f>
        <v>0</v>
      </c>
      <c r="U57" s="208">
        <f>0</f>
        <v>0</v>
      </c>
      <c r="V57" s="208">
        <f>0</f>
        <v>0</v>
      </c>
      <c r="W57" s="208">
        <f>0</f>
        <v>0</v>
      </c>
      <c r="X57" s="208">
        <f>0</f>
        <v>0</v>
      </c>
      <c r="Y57" s="208">
        <f>0</f>
        <v>0</v>
      </c>
      <c r="Z57" s="208">
        <f>0</f>
        <v>0</v>
      </c>
      <c r="AA57" s="208">
        <f>0</f>
        <v>0</v>
      </c>
      <c r="AB57" s="208">
        <f>0</f>
        <v>0</v>
      </c>
      <c r="AC57" s="208">
        <f>0</f>
        <v>0</v>
      </c>
      <c r="AD57" s="208">
        <f>0</f>
        <v>0</v>
      </c>
      <c r="AE57" s="208">
        <f>0</f>
        <v>0</v>
      </c>
      <c r="AF57" s="208">
        <f>0</f>
        <v>0</v>
      </c>
      <c r="AG57" s="208">
        <f>0</f>
        <v>0</v>
      </c>
      <c r="AH57" s="208">
        <f>0</f>
        <v>0</v>
      </c>
      <c r="AI57" s="208">
        <f>0</f>
        <v>0</v>
      </c>
      <c r="AJ57" s="208">
        <f>0</f>
        <v>0</v>
      </c>
      <c r="AK57" s="208">
        <f>0</f>
        <v>0</v>
      </c>
      <c r="AL57" s="209">
        <f>0</f>
        <v>0</v>
      </c>
    </row>
    <row r="58" spans="1:39" ht="41.25" customHeight="1" outlineLevel="2">
      <c r="A58" s="264" t="s">
        <v>204</v>
      </c>
      <c r="B58" s="303" t="s">
        <v>318</v>
      </c>
      <c r="C58" s="299" t="s">
        <v>319</v>
      </c>
      <c r="D58" s="304" t="s">
        <v>320</v>
      </c>
      <c r="E58" s="204">
        <f t="shared" ref="E58:AL58" si="2">+IF(AND(E9&gt;=2013,E9&lt;=2018),IF(E10&lt;&gt;0,(E11+E19-E22+E25)/E10,0),IF(E10&lt;&gt;0,(E11+E19-E22)/E10,0))</f>
        <v>0.15513222714229147</v>
      </c>
      <c r="F58" s="205">
        <f t="shared" si="2"/>
        <v>9.3449249586776112E-2</v>
      </c>
      <c r="G58" s="205">
        <f t="shared" si="2"/>
        <v>0.12422976296908532</v>
      </c>
      <c r="H58" s="206">
        <f t="shared" si="2"/>
        <v>0.13781055760360936</v>
      </c>
      <c r="I58" s="207">
        <f t="shared" si="2"/>
        <v>0.15809654382222715</v>
      </c>
      <c r="J58" s="208">
        <f t="shared" si="2"/>
        <v>0.1789492187115396</v>
      </c>
      <c r="K58" s="208">
        <f t="shared" si="2"/>
        <v>0.1766466218729531</v>
      </c>
      <c r="L58" s="208">
        <f t="shared" si="2"/>
        <v>0.18305263767633231</v>
      </c>
      <c r="M58" s="208">
        <f t="shared" si="2"/>
        <v>0.16936735708865533</v>
      </c>
      <c r="N58" s="208">
        <f t="shared" si="2"/>
        <v>0.18213517716925384</v>
      </c>
      <c r="O58" s="208">
        <f t="shared" si="2"/>
        <v>0.20040087914555271</v>
      </c>
      <c r="P58" s="208">
        <f t="shared" si="2"/>
        <v>0.20414400525220611</v>
      </c>
      <c r="Q58" s="208">
        <f t="shared" si="2"/>
        <v>0.20692147414651429</v>
      </c>
      <c r="R58" s="208">
        <f t="shared" si="2"/>
        <v>0.21318906637632118</v>
      </c>
      <c r="S58" s="208">
        <f t="shared" si="2"/>
        <v>0</v>
      </c>
      <c r="T58" s="208">
        <f t="shared" si="2"/>
        <v>0</v>
      </c>
      <c r="U58" s="208">
        <f t="shared" si="2"/>
        <v>0</v>
      </c>
      <c r="V58" s="208">
        <f t="shared" si="2"/>
        <v>0</v>
      </c>
      <c r="W58" s="208">
        <f t="shared" si="2"/>
        <v>0</v>
      </c>
      <c r="X58" s="208">
        <f t="shared" si="2"/>
        <v>0</v>
      </c>
      <c r="Y58" s="208">
        <f t="shared" si="2"/>
        <v>0</v>
      </c>
      <c r="Z58" s="208">
        <f t="shared" si="2"/>
        <v>0</v>
      </c>
      <c r="AA58" s="208">
        <f t="shared" si="2"/>
        <v>0</v>
      </c>
      <c r="AB58" s="208">
        <f t="shared" si="2"/>
        <v>0</v>
      </c>
      <c r="AC58" s="208">
        <f t="shared" si="2"/>
        <v>0</v>
      </c>
      <c r="AD58" s="208">
        <f t="shared" si="2"/>
        <v>0</v>
      </c>
      <c r="AE58" s="208">
        <f t="shared" si="2"/>
        <v>0</v>
      </c>
      <c r="AF58" s="208">
        <f t="shared" si="2"/>
        <v>0</v>
      </c>
      <c r="AG58" s="208">
        <f t="shared" si="2"/>
        <v>0</v>
      </c>
      <c r="AH58" s="208">
        <f t="shared" si="2"/>
        <v>0</v>
      </c>
      <c r="AI58" s="208">
        <f t="shared" si="2"/>
        <v>0</v>
      </c>
      <c r="AJ58" s="208">
        <f t="shared" si="2"/>
        <v>0</v>
      </c>
      <c r="AK58" s="208">
        <f t="shared" si="2"/>
        <v>0</v>
      </c>
      <c r="AL58" s="209">
        <f t="shared" si="2"/>
        <v>0</v>
      </c>
    </row>
    <row r="59" spans="1:39" ht="48" customHeight="1" outlineLevel="2">
      <c r="A59" s="264" t="s">
        <v>204</v>
      </c>
      <c r="B59" s="296" t="s">
        <v>321</v>
      </c>
      <c r="C59" s="299" t="s">
        <v>322</v>
      </c>
      <c r="D59" s="298" t="s">
        <v>323</v>
      </c>
      <c r="E59" s="198" t="s">
        <v>204</v>
      </c>
      <c r="F59" s="199" t="s">
        <v>204</v>
      </c>
      <c r="G59" s="199" t="s">
        <v>204</v>
      </c>
      <c r="H59" s="200" t="s">
        <v>204</v>
      </c>
      <c r="I59" s="207">
        <f>0.1242</f>
        <v>0.1242</v>
      </c>
      <c r="J59" s="208">
        <f>0.1252</f>
        <v>0.12520000000000001</v>
      </c>
      <c r="K59" s="208">
        <f>0.1537</f>
        <v>0.1537</v>
      </c>
      <c r="L59" s="208">
        <f>0.1712</f>
        <v>0.17119999999999999</v>
      </c>
      <c r="M59" s="208">
        <f>0.1795</f>
        <v>0.17949999999999999</v>
      </c>
      <c r="N59" s="208">
        <f>0.1764</f>
        <v>0.1764</v>
      </c>
      <c r="O59" s="208">
        <f>0.1782</f>
        <v>0.1782</v>
      </c>
      <c r="P59" s="208">
        <f>0.184</f>
        <v>0.184</v>
      </c>
      <c r="Q59" s="208">
        <f>0.1955</f>
        <v>0.19550000000000001</v>
      </c>
      <c r="R59" s="208">
        <f>0.2038</f>
        <v>0.20380000000000001</v>
      </c>
      <c r="S59" s="208">
        <f>0</f>
        <v>0</v>
      </c>
      <c r="T59" s="208">
        <f>0</f>
        <v>0</v>
      </c>
      <c r="U59" s="208">
        <f>0</f>
        <v>0</v>
      </c>
      <c r="V59" s="208">
        <f>0</f>
        <v>0</v>
      </c>
      <c r="W59" s="208">
        <f>0</f>
        <v>0</v>
      </c>
      <c r="X59" s="208">
        <f>0</f>
        <v>0</v>
      </c>
      <c r="Y59" s="208">
        <f>0</f>
        <v>0</v>
      </c>
      <c r="Z59" s="208">
        <f>0</f>
        <v>0</v>
      </c>
      <c r="AA59" s="208">
        <f>0</f>
        <v>0</v>
      </c>
      <c r="AB59" s="208">
        <f>0</f>
        <v>0</v>
      </c>
      <c r="AC59" s="208">
        <f>0</f>
        <v>0</v>
      </c>
      <c r="AD59" s="208">
        <f>0</f>
        <v>0</v>
      </c>
      <c r="AE59" s="208">
        <f>0</f>
        <v>0</v>
      </c>
      <c r="AF59" s="208">
        <f>0</f>
        <v>0</v>
      </c>
      <c r="AG59" s="208">
        <f>0</f>
        <v>0</v>
      </c>
      <c r="AH59" s="208">
        <f>0</f>
        <v>0</v>
      </c>
      <c r="AI59" s="208">
        <f>0</f>
        <v>0</v>
      </c>
      <c r="AJ59" s="208">
        <f>0</f>
        <v>0</v>
      </c>
      <c r="AK59" s="208">
        <f>0</f>
        <v>0</v>
      </c>
      <c r="AL59" s="209">
        <f>0</f>
        <v>0</v>
      </c>
    </row>
    <row r="60" spans="1:39" ht="48" customHeight="1" outlineLevel="3">
      <c r="A60" s="264" t="s">
        <v>204</v>
      </c>
      <c r="B60" s="296" t="s">
        <v>324</v>
      </c>
      <c r="C60" s="299" t="s">
        <v>325</v>
      </c>
      <c r="D60" s="300" t="s">
        <v>326</v>
      </c>
      <c r="E60" s="198" t="s">
        <v>204</v>
      </c>
      <c r="F60" s="199" t="s">
        <v>204</v>
      </c>
      <c r="G60" s="199" t="s">
        <v>204</v>
      </c>
      <c r="H60" s="200" t="s">
        <v>204</v>
      </c>
      <c r="I60" s="207">
        <f>0.1288</f>
        <v>0.1288</v>
      </c>
      <c r="J60" s="208">
        <f>0.1298</f>
        <v>0.1298</v>
      </c>
      <c r="K60" s="208">
        <f>0.1583</f>
        <v>0.1583</v>
      </c>
      <c r="L60" s="208">
        <f>0.1712</f>
        <v>0.17119999999999999</v>
      </c>
      <c r="M60" s="208">
        <f>0.1795</f>
        <v>0.17949999999999999</v>
      </c>
      <c r="N60" s="208">
        <f>0.1764</f>
        <v>0.1764</v>
      </c>
      <c r="O60" s="208">
        <f>0.1782</f>
        <v>0.1782</v>
      </c>
      <c r="P60" s="208">
        <f>0.184</f>
        <v>0.184</v>
      </c>
      <c r="Q60" s="208">
        <f>0.1955</f>
        <v>0.19550000000000001</v>
      </c>
      <c r="R60" s="208">
        <f>0.2038</f>
        <v>0.20380000000000001</v>
      </c>
      <c r="S60" s="208">
        <f>0</f>
        <v>0</v>
      </c>
      <c r="T60" s="208">
        <f>0</f>
        <v>0</v>
      </c>
      <c r="U60" s="208">
        <f>0</f>
        <v>0</v>
      </c>
      <c r="V60" s="208">
        <f>0</f>
        <v>0</v>
      </c>
      <c r="W60" s="208">
        <f>0</f>
        <v>0</v>
      </c>
      <c r="X60" s="208">
        <f>0</f>
        <v>0</v>
      </c>
      <c r="Y60" s="208">
        <f>0</f>
        <v>0</v>
      </c>
      <c r="Z60" s="208">
        <f>0</f>
        <v>0</v>
      </c>
      <c r="AA60" s="208">
        <f>0</f>
        <v>0</v>
      </c>
      <c r="AB60" s="208">
        <f>0</f>
        <v>0</v>
      </c>
      <c r="AC60" s="208">
        <f>0</f>
        <v>0</v>
      </c>
      <c r="AD60" s="208">
        <f>0</f>
        <v>0</v>
      </c>
      <c r="AE60" s="208">
        <f>0</f>
        <v>0</v>
      </c>
      <c r="AF60" s="208">
        <f>0</f>
        <v>0</v>
      </c>
      <c r="AG60" s="208">
        <f>0</f>
        <v>0</v>
      </c>
      <c r="AH60" s="208">
        <f>0</f>
        <v>0</v>
      </c>
      <c r="AI60" s="208">
        <f>0</f>
        <v>0</v>
      </c>
      <c r="AJ60" s="208">
        <f>0</f>
        <v>0</v>
      </c>
      <c r="AK60" s="208">
        <f>0</f>
        <v>0</v>
      </c>
      <c r="AL60" s="209">
        <f>0</f>
        <v>0</v>
      </c>
    </row>
    <row r="61" spans="1:39" ht="54.75" customHeight="1" outlineLevel="2">
      <c r="A61" s="264" t="s">
        <v>204</v>
      </c>
      <c r="B61" s="296" t="s">
        <v>327</v>
      </c>
      <c r="C61" s="299" t="s">
        <v>328</v>
      </c>
      <c r="D61" s="298" t="s">
        <v>329</v>
      </c>
      <c r="E61" s="198" t="s">
        <v>204</v>
      </c>
      <c r="F61" s="199" t="s">
        <v>204</v>
      </c>
      <c r="G61" s="199" t="s">
        <v>204</v>
      </c>
      <c r="H61" s="200" t="s">
        <v>204</v>
      </c>
      <c r="I61" s="210" t="str">
        <f>IF(I57&lt;=I59,"Spełniona","Nie spełniona")</f>
        <v>Spełniona</v>
      </c>
      <c r="J61" s="211" t="str">
        <f t="shared" ref="J61:AL61" si="3">IF(J57&lt;=J59,"Spełniona","Nie spełniona")</f>
        <v>Nie spełniona</v>
      </c>
      <c r="K61" s="211" t="str">
        <f t="shared" si="3"/>
        <v>Spełniona</v>
      </c>
      <c r="L61" s="211" t="str">
        <f t="shared" si="3"/>
        <v>Spełniona</v>
      </c>
      <c r="M61" s="211" t="str">
        <f t="shared" si="3"/>
        <v>Spełniona</v>
      </c>
      <c r="N61" s="211" t="str">
        <f t="shared" si="3"/>
        <v>Spełniona</v>
      </c>
      <c r="O61" s="211" t="str">
        <f t="shared" si="3"/>
        <v>Spełniona</v>
      </c>
      <c r="P61" s="211" t="str">
        <f t="shared" si="3"/>
        <v>Spełniona</v>
      </c>
      <c r="Q61" s="211" t="str">
        <f t="shared" si="3"/>
        <v>Spełniona</v>
      </c>
      <c r="R61" s="211" t="str">
        <f t="shared" si="3"/>
        <v>Spełniona</v>
      </c>
      <c r="S61" s="211" t="str">
        <f t="shared" si="3"/>
        <v>Spełniona</v>
      </c>
      <c r="T61" s="211" t="str">
        <f t="shared" si="3"/>
        <v>Spełniona</v>
      </c>
      <c r="U61" s="211" t="str">
        <f t="shared" si="3"/>
        <v>Spełniona</v>
      </c>
      <c r="V61" s="211" t="str">
        <f t="shared" si="3"/>
        <v>Spełniona</v>
      </c>
      <c r="W61" s="211" t="str">
        <f t="shared" si="3"/>
        <v>Spełniona</v>
      </c>
      <c r="X61" s="211" t="str">
        <f t="shared" si="3"/>
        <v>Spełniona</v>
      </c>
      <c r="Y61" s="211" t="str">
        <f t="shared" si="3"/>
        <v>Spełniona</v>
      </c>
      <c r="Z61" s="211" t="str">
        <f t="shared" si="3"/>
        <v>Spełniona</v>
      </c>
      <c r="AA61" s="211" t="str">
        <f t="shared" si="3"/>
        <v>Spełniona</v>
      </c>
      <c r="AB61" s="211" t="str">
        <f t="shared" si="3"/>
        <v>Spełniona</v>
      </c>
      <c r="AC61" s="211" t="str">
        <f t="shared" si="3"/>
        <v>Spełniona</v>
      </c>
      <c r="AD61" s="211" t="str">
        <f t="shared" si="3"/>
        <v>Spełniona</v>
      </c>
      <c r="AE61" s="211" t="str">
        <f t="shared" si="3"/>
        <v>Spełniona</v>
      </c>
      <c r="AF61" s="211" t="str">
        <f t="shared" si="3"/>
        <v>Spełniona</v>
      </c>
      <c r="AG61" s="211" t="str">
        <f t="shared" si="3"/>
        <v>Spełniona</v>
      </c>
      <c r="AH61" s="211" t="str">
        <f t="shared" si="3"/>
        <v>Spełniona</v>
      </c>
      <c r="AI61" s="211" t="str">
        <f t="shared" si="3"/>
        <v>Spełniona</v>
      </c>
      <c r="AJ61" s="211" t="str">
        <f t="shared" si="3"/>
        <v>Spełniona</v>
      </c>
      <c r="AK61" s="211" t="str">
        <f t="shared" si="3"/>
        <v>Spełniona</v>
      </c>
      <c r="AL61" s="212" t="str">
        <f t="shared" si="3"/>
        <v>Spełniona</v>
      </c>
    </row>
    <row r="62" spans="1:39" ht="58.5" customHeight="1" outlineLevel="3">
      <c r="A62" s="264" t="s">
        <v>204</v>
      </c>
      <c r="B62" s="296" t="s">
        <v>330</v>
      </c>
      <c r="C62" s="299" t="s">
        <v>331</v>
      </c>
      <c r="D62" s="300" t="s">
        <v>332</v>
      </c>
      <c r="E62" s="198" t="s">
        <v>204</v>
      </c>
      <c r="F62" s="199" t="s">
        <v>204</v>
      </c>
      <c r="G62" s="199" t="s">
        <v>204</v>
      </c>
      <c r="H62" s="200" t="s">
        <v>204</v>
      </c>
      <c r="I62" s="210" t="str">
        <f>IF(I57&lt;=I60,"Spełniona","Nie spełniona")</f>
        <v>Spełniona</v>
      </c>
      <c r="J62" s="211" t="str">
        <f t="shared" ref="J62:AL62" si="4">IF(J57&lt;=J60,"Spełniona","Nie spełniona")</f>
        <v>Nie spełniona</v>
      </c>
      <c r="K62" s="211" t="str">
        <f t="shared" si="4"/>
        <v>Spełniona</v>
      </c>
      <c r="L62" s="211" t="str">
        <f t="shared" si="4"/>
        <v>Spełniona</v>
      </c>
      <c r="M62" s="211" t="str">
        <f t="shared" si="4"/>
        <v>Spełniona</v>
      </c>
      <c r="N62" s="211" t="str">
        <f t="shared" si="4"/>
        <v>Spełniona</v>
      </c>
      <c r="O62" s="211" t="str">
        <f t="shared" si="4"/>
        <v>Spełniona</v>
      </c>
      <c r="P62" s="211" t="str">
        <f t="shared" si="4"/>
        <v>Spełniona</v>
      </c>
      <c r="Q62" s="211" t="str">
        <f t="shared" si="4"/>
        <v>Spełniona</v>
      </c>
      <c r="R62" s="211" t="str">
        <f t="shared" si="4"/>
        <v>Spełniona</v>
      </c>
      <c r="S62" s="211" t="str">
        <f t="shared" si="4"/>
        <v>Spełniona</v>
      </c>
      <c r="T62" s="211" t="str">
        <f t="shared" si="4"/>
        <v>Spełniona</v>
      </c>
      <c r="U62" s="211" t="str">
        <f t="shared" si="4"/>
        <v>Spełniona</v>
      </c>
      <c r="V62" s="211" t="str">
        <f t="shared" si="4"/>
        <v>Spełniona</v>
      </c>
      <c r="W62" s="211" t="str">
        <f t="shared" si="4"/>
        <v>Spełniona</v>
      </c>
      <c r="X62" s="211" t="str">
        <f t="shared" si="4"/>
        <v>Spełniona</v>
      </c>
      <c r="Y62" s="211" t="str">
        <f t="shared" si="4"/>
        <v>Spełniona</v>
      </c>
      <c r="Z62" s="211" t="str">
        <f t="shared" si="4"/>
        <v>Spełniona</v>
      </c>
      <c r="AA62" s="211" t="str">
        <f t="shared" si="4"/>
        <v>Spełniona</v>
      </c>
      <c r="AB62" s="211" t="str">
        <f t="shared" si="4"/>
        <v>Spełniona</v>
      </c>
      <c r="AC62" s="211" t="str">
        <f t="shared" si="4"/>
        <v>Spełniona</v>
      </c>
      <c r="AD62" s="211" t="str">
        <f t="shared" si="4"/>
        <v>Spełniona</v>
      </c>
      <c r="AE62" s="211" t="str">
        <f t="shared" si="4"/>
        <v>Spełniona</v>
      </c>
      <c r="AF62" s="211" t="str">
        <f t="shared" si="4"/>
        <v>Spełniona</v>
      </c>
      <c r="AG62" s="211" t="str">
        <f t="shared" si="4"/>
        <v>Spełniona</v>
      </c>
      <c r="AH62" s="211" t="str">
        <f t="shared" si="4"/>
        <v>Spełniona</v>
      </c>
      <c r="AI62" s="211" t="str">
        <f t="shared" si="4"/>
        <v>Spełniona</v>
      </c>
      <c r="AJ62" s="211" t="str">
        <f t="shared" si="4"/>
        <v>Spełniona</v>
      </c>
      <c r="AK62" s="211" t="str">
        <f t="shared" si="4"/>
        <v>Spełniona</v>
      </c>
      <c r="AL62" s="212" t="str">
        <f t="shared" si="4"/>
        <v>Spełniona</v>
      </c>
    </row>
    <row r="63" spans="1:39" ht="15" outlineLevel="1">
      <c r="B63" s="292">
        <v>10</v>
      </c>
      <c r="C63" s="293" t="s">
        <v>333</v>
      </c>
      <c r="D63" s="294" t="s">
        <v>333</v>
      </c>
      <c r="E63" s="186">
        <f>0</f>
        <v>0</v>
      </c>
      <c r="F63" s="187">
        <f>0</f>
        <v>0</v>
      </c>
      <c r="G63" s="187">
        <f>0</f>
        <v>0</v>
      </c>
      <c r="H63" s="188">
        <f>0</f>
        <v>0</v>
      </c>
      <c r="I63" s="189">
        <f>1864521</f>
        <v>1864521</v>
      </c>
      <c r="J63" s="190">
        <f t="shared" ref="J63:N64" si="5">1964521</f>
        <v>1964521</v>
      </c>
      <c r="K63" s="190">
        <f t="shared" si="5"/>
        <v>1964521</v>
      </c>
      <c r="L63" s="190">
        <f t="shared" si="5"/>
        <v>1964521</v>
      </c>
      <c r="M63" s="190">
        <f t="shared" si="5"/>
        <v>1964521</v>
      </c>
      <c r="N63" s="190">
        <f t="shared" si="5"/>
        <v>1964521</v>
      </c>
      <c r="O63" s="190">
        <f>1924521</f>
        <v>1924521</v>
      </c>
      <c r="P63" s="190">
        <f>1021127</f>
        <v>1021127</v>
      </c>
      <c r="Q63" s="190">
        <f>369963</f>
        <v>369963</v>
      </c>
      <c r="R63" s="190">
        <f>270045.42</f>
        <v>270045.42</v>
      </c>
      <c r="S63" s="190">
        <f>0</f>
        <v>0</v>
      </c>
      <c r="T63" s="190">
        <f>0</f>
        <v>0</v>
      </c>
      <c r="U63" s="190">
        <f>0</f>
        <v>0</v>
      </c>
      <c r="V63" s="190">
        <f>0</f>
        <v>0</v>
      </c>
      <c r="W63" s="190">
        <f>0</f>
        <v>0</v>
      </c>
      <c r="X63" s="190">
        <f>0</f>
        <v>0</v>
      </c>
      <c r="Y63" s="190">
        <f>0</f>
        <v>0</v>
      </c>
      <c r="Z63" s="190">
        <f>0</f>
        <v>0</v>
      </c>
      <c r="AA63" s="190">
        <f>0</f>
        <v>0</v>
      </c>
      <c r="AB63" s="190">
        <f>0</f>
        <v>0</v>
      </c>
      <c r="AC63" s="190">
        <f>0</f>
        <v>0</v>
      </c>
      <c r="AD63" s="190">
        <f>0</f>
        <v>0</v>
      </c>
      <c r="AE63" s="190">
        <f>0</f>
        <v>0</v>
      </c>
      <c r="AF63" s="190">
        <f>0</f>
        <v>0</v>
      </c>
      <c r="AG63" s="190">
        <f>0</f>
        <v>0</v>
      </c>
      <c r="AH63" s="190">
        <f>0</f>
        <v>0</v>
      </c>
      <c r="AI63" s="190">
        <f>0</f>
        <v>0</v>
      </c>
      <c r="AJ63" s="190">
        <f>0</f>
        <v>0</v>
      </c>
      <c r="AK63" s="190">
        <f>0</f>
        <v>0</v>
      </c>
      <c r="AL63" s="191">
        <f>0</f>
        <v>0</v>
      </c>
      <c r="AM63" s="295"/>
    </row>
    <row r="64" spans="1:39" outlineLevel="2">
      <c r="B64" s="296" t="s">
        <v>334</v>
      </c>
      <c r="C64" s="299" t="s">
        <v>335</v>
      </c>
      <c r="D64" s="298" t="s">
        <v>336</v>
      </c>
      <c r="E64" s="192">
        <f>0</f>
        <v>0</v>
      </c>
      <c r="F64" s="193">
        <f>0</f>
        <v>0</v>
      </c>
      <c r="G64" s="193">
        <f>413661</f>
        <v>413661</v>
      </c>
      <c r="H64" s="194">
        <f>361034.95</f>
        <v>361034.95</v>
      </c>
      <c r="I64" s="195">
        <f>1864521</f>
        <v>1864521</v>
      </c>
      <c r="J64" s="196">
        <f t="shared" si="5"/>
        <v>1964521</v>
      </c>
      <c r="K64" s="196">
        <f t="shared" si="5"/>
        <v>1964521</v>
      </c>
      <c r="L64" s="196">
        <f t="shared" si="5"/>
        <v>1964521</v>
      </c>
      <c r="M64" s="196">
        <f t="shared" si="5"/>
        <v>1964521</v>
      </c>
      <c r="N64" s="196">
        <f t="shared" si="5"/>
        <v>1964521</v>
      </c>
      <c r="O64" s="196">
        <f>1924521</f>
        <v>1924521</v>
      </c>
      <c r="P64" s="196">
        <f>1021127</f>
        <v>1021127</v>
      </c>
      <c r="Q64" s="196">
        <f>369963</f>
        <v>369963</v>
      </c>
      <c r="R64" s="196">
        <f>270045.42</f>
        <v>270045.42</v>
      </c>
      <c r="S64" s="196">
        <f>0</f>
        <v>0</v>
      </c>
      <c r="T64" s="196">
        <f>0</f>
        <v>0</v>
      </c>
      <c r="U64" s="196">
        <f>0</f>
        <v>0</v>
      </c>
      <c r="V64" s="196">
        <f>0</f>
        <v>0</v>
      </c>
      <c r="W64" s="196">
        <f>0</f>
        <v>0</v>
      </c>
      <c r="X64" s="196">
        <f>0</f>
        <v>0</v>
      </c>
      <c r="Y64" s="196">
        <f>0</f>
        <v>0</v>
      </c>
      <c r="Z64" s="196">
        <f>0</f>
        <v>0</v>
      </c>
      <c r="AA64" s="196">
        <f>0</f>
        <v>0</v>
      </c>
      <c r="AB64" s="196">
        <f>0</f>
        <v>0</v>
      </c>
      <c r="AC64" s="196">
        <f>0</f>
        <v>0</v>
      </c>
      <c r="AD64" s="196">
        <f>0</f>
        <v>0</v>
      </c>
      <c r="AE64" s="196">
        <f>0</f>
        <v>0</v>
      </c>
      <c r="AF64" s="196">
        <f>0</f>
        <v>0</v>
      </c>
      <c r="AG64" s="196">
        <f>0</f>
        <v>0</v>
      </c>
      <c r="AH64" s="196">
        <f>0</f>
        <v>0</v>
      </c>
      <c r="AI64" s="196">
        <f>0</f>
        <v>0</v>
      </c>
      <c r="AJ64" s="196">
        <f>0</f>
        <v>0</v>
      </c>
      <c r="AK64" s="196">
        <f>0</f>
        <v>0</v>
      </c>
      <c r="AL64" s="197">
        <f>0</f>
        <v>0</v>
      </c>
    </row>
    <row r="65" spans="2:39" ht="15" outlineLevel="1">
      <c r="B65" s="292">
        <v>11</v>
      </c>
      <c r="C65" s="293" t="s">
        <v>337</v>
      </c>
      <c r="D65" s="294" t="s">
        <v>337</v>
      </c>
      <c r="E65" s="198" t="s">
        <v>204</v>
      </c>
      <c r="F65" s="199" t="s">
        <v>204</v>
      </c>
      <c r="G65" s="199" t="s">
        <v>204</v>
      </c>
      <c r="H65" s="200" t="s">
        <v>204</v>
      </c>
      <c r="I65" s="201" t="s">
        <v>204</v>
      </c>
      <c r="J65" s="202" t="s">
        <v>204</v>
      </c>
      <c r="K65" s="202" t="s">
        <v>204</v>
      </c>
      <c r="L65" s="202" t="s">
        <v>204</v>
      </c>
      <c r="M65" s="202" t="s">
        <v>204</v>
      </c>
      <c r="N65" s="202" t="s">
        <v>204</v>
      </c>
      <c r="O65" s="202" t="s">
        <v>204</v>
      </c>
      <c r="P65" s="202" t="s">
        <v>204</v>
      </c>
      <c r="Q65" s="202" t="s">
        <v>204</v>
      </c>
      <c r="R65" s="202" t="s">
        <v>204</v>
      </c>
      <c r="S65" s="202" t="s">
        <v>204</v>
      </c>
      <c r="T65" s="202" t="s">
        <v>204</v>
      </c>
      <c r="U65" s="202" t="s">
        <v>204</v>
      </c>
      <c r="V65" s="202" t="s">
        <v>204</v>
      </c>
      <c r="W65" s="202" t="s">
        <v>204</v>
      </c>
      <c r="X65" s="202" t="s">
        <v>204</v>
      </c>
      <c r="Y65" s="202" t="s">
        <v>204</v>
      </c>
      <c r="Z65" s="202" t="s">
        <v>204</v>
      </c>
      <c r="AA65" s="202" t="s">
        <v>204</v>
      </c>
      <c r="AB65" s="202" t="s">
        <v>204</v>
      </c>
      <c r="AC65" s="202" t="s">
        <v>204</v>
      </c>
      <c r="AD65" s="202" t="s">
        <v>204</v>
      </c>
      <c r="AE65" s="202" t="s">
        <v>204</v>
      </c>
      <c r="AF65" s="202" t="s">
        <v>204</v>
      </c>
      <c r="AG65" s="202" t="s">
        <v>204</v>
      </c>
      <c r="AH65" s="202" t="s">
        <v>204</v>
      </c>
      <c r="AI65" s="202" t="s">
        <v>204</v>
      </c>
      <c r="AJ65" s="202" t="s">
        <v>204</v>
      </c>
      <c r="AK65" s="202" t="s">
        <v>204</v>
      </c>
      <c r="AL65" s="203" t="s">
        <v>204</v>
      </c>
      <c r="AM65" s="295"/>
    </row>
    <row r="66" spans="2:39" outlineLevel="2">
      <c r="B66" s="296" t="s">
        <v>338</v>
      </c>
      <c r="C66" s="299" t="s">
        <v>339</v>
      </c>
      <c r="D66" s="298" t="s">
        <v>340</v>
      </c>
      <c r="E66" s="192">
        <f>5888275.54</f>
        <v>5888275.54</v>
      </c>
      <c r="F66" s="193">
        <f>6513898.96</f>
        <v>6513898.96</v>
      </c>
      <c r="G66" s="193">
        <f>6919615.9</f>
        <v>6919615.9000000004</v>
      </c>
      <c r="H66" s="194">
        <f>6622241.09</f>
        <v>6622241.0899999999</v>
      </c>
      <c r="I66" s="195">
        <f>6694426.47</f>
        <v>6694426.4699999997</v>
      </c>
      <c r="J66" s="196">
        <f>6515375</f>
        <v>6515375</v>
      </c>
      <c r="K66" s="196">
        <f>6590528</f>
        <v>6590528</v>
      </c>
      <c r="L66" s="196">
        <f>6657760</f>
        <v>6657760</v>
      </c>
      <c r="M66" s="196">
        <f>0</f>
        <v>0</v>
      </c>
      <c r="N66" s="196">
        <f>0</f>
        <v>0</v>
      </c>
      <c r="O66" s="196">
        <f>0</f>
        <v>0</v>
      </c>
      <c r="P66" s="196">
        <f>0</f>
        <v>0</v>
      </c>
      <c r="Q66" s="196">
        <f>0</f>
        <v>0</v>
      </c>
      <c r="R66" s="196">
        <f>0</f>
        <v>0</v>
      </c>
      <c r="S66" s="196">
        <f>0</f>
        <v>0</v>
      </c>
      <c r="T66" s="196">
        <f>0</f>
        <v>0</v>
      </c>
      <c r="U66" s="196">
        <f>0</f>
        <v>0</v>
      </c>
      <c r="V66" s="196">
        <f>0</f>
        <v>0</v>
      </c>
      <c r="W66" s="196">
        <f>0</f>
        <v>0</v>
      </c>
      <c r="X66" s="196">
        <f>0</f>
        <v>0</v>
      </c>
      <c r="Y66" s="196">
        <f>0</f>
        <v>0</v>
      </c>
      <c r="Z66" s="196">
        <f>0</f>
        <v>0</v>
      </c>
      <c r="AA66" s="196">
        <f>0</f>
        <v>0</v>
      </c>
      <c r="AB66" s="196">
        <f>0</f>
        <v>0</v>
      </c>
      <c r="AC66" s="196">
        <f>0</f>
        <v>0</v>
      </c>
      <c r="AD66" s="196">
        <f>0</f>
        <v>0</v>
      </c>
      <c r="AE66" s="196">
        <f>0</f>
        <v>0</v>
      </c>
      <c r="AF66" s="196">
        <f>0</f>
        <v>0</v>
      </c>
      <c r="AG66" s="196">
        <f>0</f>
        <v>0</v>
      </c>
      <c r="AH66" s="196">
        <f>0</f>
        <v>0</v>
      </c>
      <c r="AI66" s="196">
        <f>0</f>
        <v>0</v>
      </c>
      <c r="AJ66" s="196">
        <f>0</f>
        <v>0</v>
      </c>
      <c r="AK66" s="196">
        <f>0</f>
        <v>0</v>
      </c>
      <c r="AL66" s="197">
        <f>0</f>
        <v>0</v>
      </c>
    </row>
    <row r="67" spans="2:39" ht="24" outlineLevel="2">
      <c r="B67" s="296" t="s">
        <v>341</v>
      </c>
      <c r="C67" s="299" t="s">
        <v>342</v>
      </c>
      <c r="D67" s="298" t="s">
        <v>343</v>
      </c>
      <c r="E67" s="192">
        <f>0</f>
        <v>0</v>
      </c>
      <c r="F67" s="193">
        <f>2731725.76</f>
        <v>2731725.76</v>
      </c>
      <c r="G67" s="193">
        <f>3042710</f>
        <v>3042710</v>
      </c>
      <c r="H67" s="194">
        <f>2810053.93</f>
        <v>2810053.93</v>
      </c>
      <c r="I67" s="195">
        <f>3042937</f>
        <v>3042937</v>
      </c>
      <c r="J67" s="196">
        <f>2959448</f>
        <v>2959448</v>
      </c>
      <c r="K67" s="196">
        <f>3000045</f>
        <v>3000045</v>
      </c>
      <c r="L67" s="196">
        <f>3030645</f>
        <v>3030645</v>
      </c>
      <c r="M67" s="196">
        <f>0</f>
        <v>0</v>
      </c>
      <c r="N67" s="196">
        <f>0</f>
        <v>0</v>
      </c>
      <c r="O67" s="196">
        <f>0</f>
        <v>0</v>
      </c>
      <c r="P67" s="196">
        <f>0</f>
        <v>0</v>
      </c>
      <c r="Q67" s="196">
        <f>0</f>
        <v>0</v>
      </c>
      <c r="R67" s="196">
        <f>0</f>
        <v>0</v>
      </c>
      <c r="S67" s="196">
        <f>0</f>
        <v>0</v>
      </c>
      <c r="T67" s="196">
        <f>0</f>
        <v>0</v>
      </c>
      <c r="U67" s="196">
        <f>0</f>
        <v>0</v>
      </c>
      <c r="V67" s="196">
        <f>0</f>
        <v>0</v>
      </c>
      <c r="W67" s="196">
        <f>0</f>
        <v>0</v>
      </c>
      <c r="X67" s="196">
        <f>0</f>
        <v>0</v>
      </c>
      <c r="Y67" s="196">
        <f>0</f>
        <v>0</v>
      </c>
      <c r="Z67" s="196">
        <f>0</f>
        <v>0</v>
      </c>
      <c r="AA67" s="196">
        <f>0</f>
        <v>0</v>
      </c>
      <c r="AB67" s="196">
        <f>0</f>
        <v>0</v>
      </c>
      <c r="AC67" s="196">
        <f>0</f>
        <v>0</v>
      </c>
      <c r="AD67" s="196">
        <f>0</f>
        <v>0</v>
      </c>
      <c r="AE67" s="196">
        <f>0</f>
        <v>0</v>
      </c>
      <c r="AF67" s="196">
        <f>0</f>
        <v>0</v>
      </c>
      <c r="AG67" s="196">
        <f>0</f>
        <v>0</v>
      </c>
      <c r="AH67" s="196">
        <f>0</f>
        <v>0</v>
      </c>
      <c r="AI67" s="196">
        <f>0</f>
        <v>0</v>
      </c>
      <c r="AJ67" s="196">
        <f>0</f>
        <v>0</v>
      </c>
      <c r="AK67" s="196">
        <f>0</f>
        <v>0</v>
      </c>
      <c r="AL67" s="197">
        <f>0</f>
        <v>0</v>
      </c>
    </row>
    <row r="68" spans="2:39" outlineLevel="2">
      <c r="B68" s="296" t="s">
        <v>344</v>
      </c>
      <c r="C68" s="299" t="s">
        <v>345</v>
      </c>
      <c r="D68" s="298" t="s">
        <v>346</v>
      </c>
      <c r="E68" s="192">
        <f>4142109.59</f>
        <v>4142109.59</v>
      </c>
      <c r="F68" s="193">
        <f>0</f>
        <v>0</v>
      </c>
      <c r="G68" s="193">
        <f>3272400</f>
        <v>3272400</v>
      </c>
      <c r="H68" s="194">
        <f>0</f>
        <v>0</v>
      </c>
      <c r="I68" s="195">
        <f>2537393</f>
        <v>2537393</v>
      </c>
      <c r="J68" s="196">
        <f>2398704</f>
        <v>2398704</v>
      </c>
      <c r="K68" s="196">
        <f>2456617</f>
        <v>2456617</v>
      </c>
      <c r="L68" s="196">
        <f>3021481</f>
        <v>3021481</v>
      </c>
      <c r="M68" s="196">
        <f>3004000</f>
        <v>3004000</v>
      </c>
      <c r="N68" s="196">
        <f>3608845</f>
        <v>3608845</v>
      </c>
      <c r="O68" s="196">
        <f>3600500</f>
        <v>3600500</v>
      </c>
      <c r="P68" s="196">
        <f>6351000</f>
        <v>6351000</v>
      </c>
      <c r="Q68" s="196">
        <f>9277000</f>
        <v>9277000</v>
      </c>
      <c r="R68" s="196">
        <f>9927000</f>
        <v>9927000</v>
      </c>
      <c r="S68" s="196">
        <f>0</f>
        <v>0</v>
      </c>
      <c r="T68" s="196">
        <f>0</f>
        <v>0</v>
      </c>
      <c r="U68" s="196">
        <f>0</f>
        <v>0</v>
      </c>
      <c r="V68" s="196">
        <f>0</f>
        <v>0</v>
      </c>
      <c r="W68" s="196">
        <f>0</f>
        <v>0</v>
      </c>
      <c r="X68" s="196">
        <f>0</f>
        <v>0</v>
      </c>
      <c r="Y68" s="196">
        <f>0</f>
        <v>0</v>
      </c>
      <c r="Z68" s="196">
        <f>0</f>
        <v>0</v>
      </c>
      <c r="AA68" s="196">
        <f>0</f>
        <v>0</v>
      </c>
      <c r="AB68" s="196">
        <f>0</f>
        <v>0</v>
      </c>
      <c r="AC68" s="196">
        <f>0</f>
        <v>0</v>
      </c>
      <c r="AD68" s="196">
        <f>0</f>
        <v>0</v>
      </c>
      <c r="AE68" s="196">
        <f>0</f>
        <v>0</v>
      </c>
      <c r="AF68" s="196">
        <f>0</f>
        <v>0</v>
      </c>
      <c r="AG68" s="196">
        <f>0</f>
        <v>0</v>
      </c>
      <c r="AH68" s="196">
        <f>0</f>
        <v>0</v>
      </c>
      <c r="AI68" s="196">
        <f>0</f>
        <v>0</v>
      </c>
      <c r="AJ68" s="196">
        <f>0</f>
        <v>0</v>
      </c>
      <c r="AK68" s="196">
        <f>0</f>
        <v>0</v>
      </c>
      <c r="AL68" s="197">
        <f>0</f>
        <v>0</v>
      </c>
    </row>
    <row r="69" spans="2:39" outlineLevel="3">
      <c r="B69" s="296" t="s">
        <v>347</v>
      </c>
      <c r="C69" s="299" t="s">
        <v>348</v>
      </c>
      <c r="D69" s="300" t="s">
        <v>349</v>
      </c>
      <c r="E69" s="192">
        <f>129064</f>
        <v>129064</v>
      </c>
      <c r="F69" s="193">
        <f>0</f>
        <v>0</v>
      </c>
      <c r="G69" s="193">
        <f>648376</f>
        <v>648376</v>
      </c>
      <c r="H69" s="194">
        <f>0</f>
        <v>0</v>
      </c>
      <c r="I69" s="195">
        <f>651424</f>
        <v>651424</v>
      </c>
      <c r="J69" s="196">
        <f>357212</f>
        <v>357212</v>
      </c>
      <c r="K69" s="196">
        <f>249000</f>
        <v>249000</v>
      </c>
      <c r="L69" s="196">
        <f>249000</f>
        <v>249000</v>
      </c>
      <c r="M69" s="196">
        <f>199000</f>
        <v>199000</v>
      </c>
      <c r="N69" s="196">
        <f>101000</f>
        <v>101000</v>
      </c>
      <c r="O69" s="196">
        <f>41000</f>
        <v>41000</v>
      </c>
      <c r="P69" s="196">
        <f>17000</f>
        <v>17000</v>
      </c>
      <c r="Q69" s="196">
        <f>17000</f>
        <v>17000</v>
      </c>
      <c r="R69" s="196">
        <f>17000</f>
        <v>17000</v>
      </c>
      <c r="S69" s="196">
        <f>0</f>
        <v>0</v>
      </c>
      <c r="T69" s="196">
        <f>0</f>
        <v>0</v>
      </c>
      <c r="U69" s="196">
        <f>0</f>
        <v>0</v>
      </c>
      <c r="V69" s="196">
        <f>0</f>
        <v>0</v>
      </c>
      <c r="W69" s="196">
        <f>0</f>
        <v>0</v>
      </c>
      <c r="X69" s="196">
        <f>0</f>
        <v>0</v>
      </c>
      <c r="Y69" s="196">
        <f>0</f>
        <v>0</v>
      </c>
      <c r="Z69" s="196">
        <f>0</f>
        <v>0</v>
      </c>
      <c r="AA69" s="196">
        <f>0</f>
        <v>0</v>
      </c>
      <c r="AB69" s="196">
        <f>0</f>
        <v>0</v>
      </c>
      <c r="AC69" s="196">
        <f>0</f>
        <v>0</v>
      </c>
      <c r="AD69" s="196">
        <f>0</f>
        <v>0</v>
      </c>
      <c r="AE69" s="196">
        <f>0</f>
        <v>0</v>
      </c>
      <c r="AF69" s="196">
        <f>0</f>
        <v>0</v>
      </c>
      <c r="AG69" s="196">
        <f>0</f>
        <v>0</v>
      </c>
      <c r="AH69" s="196">
        <f>0</f>
        <v>0</v>
      </c>
      <c r="AI69" s="196">
        <f>0</f>
        <v>0</v>
      </c>
      <c r="AJ69" s="196">
        <f>0</f>
        <v>0</v>
      </c>
      <c r="AK69" s="196">
        <f>0</f>
        <v>0</v>
      </c>
      <c r="AL69" s="197">
        <f>0</f>
        <v>0</v>
      </c>
    </row>
    <row r="70" spans="2:39" outlineLevel="3">
      <c r="B70" s="296" t="s">
        <v>350</v>
      </c>
      <c r="C70" s="299" t="s">
        <v>351</v>
      </c>
      <c r="D70" s="300" t="s">
        <v>352</v>
      </c>
      <c r="E70" s="192">
        <f>4013045.59</f>
        <v>4013045.59</v>
      </c>
      <c r="F70" s="193">
        <f>0</f>
        <v>0</v>
      </c>
      <c r="G70" s="193">
        <f>2624024</f>
        <v>2624024</v>
      </c>
      <c r="H70" s="194">
        <f>0</f>
        <v>0</v>
      </c>
      <c r="I70" s="195">
        <f>1885969</f>
        <v>1885969</v>
      </c>
      <c r="J70" s="196">
        <f>2041492</f>
        <v>2041492</v>
      </c>
      <c r="K70" s="196">
        <f>2207617</f>
        <v>2207617</v>
      </c>
      <c r="L70" s="196">
        <f>2772481</f>
        <v>2772481</v>
      </c>
      <c r="M70" s="196">
        <f>2805000</f>
        <v>2805000</v>
      </c>
      <c r="N70" s="196">
        <f>3507845</f>
        <v>3507845</v>
      </c>
      <c r="O70" s="196">
        <f>3559500</f>
        <v>3559500</v>
      </c>
      <c r="P70" s="196">
        <f>6334000</f>
        <v>6334000</v>
      </c>
      <c r="Q70" s="196">
        <f>9260000</f>
        <v>9260000</v>
      </c>
      <c r="R70" s="196">
        <f>9910000</f>
        <v>9910000</v>
      </c>
      <c r="S70" s="196">
        <f>0</f>
        <v>0</v>
      </c>
      <c r="T70" s="196">
        <f>0</f>
        <v>0</v>
      </c>
      <c r="U70" s="196">
        <f>0</f>
        <v>0</v>
      </c>
      <c r="V70" s="196">
        <f>0</f>
        <v>0</v>
      </c>
      <c r="W70" s="196">
        <f>0</f>
        <v>0</v>
      </c>
      <c r="X70" s="196">
        <f>0</f>
        <v>0</v>
      </c>
      <c r="Y70" s="196">
        <f>0</f>
        <v>0</v>
      </c>
      <c r="Z70" s="196">
        <f>0</f>
        <v>0</v>
      </c>
      <c r="AA70" s="196">
        <f>0</f>
        <v>0</v>
      </c>
      <c r="AB70" s="196">
        <f>0</f>
        <v>0</v>
      </c>
      <c r="AC70" s="196">
        <f>0</f>
        <v>0</v>
      </c>
      <c r="AD70" s="196">
        <f>0</f>
        <v>0</v>
      </c>
      <c r="AE70" s="196">
        <f>0</f>
        <v>0</v>
      </c>
      <c r="AF70" s="196">
        <f>0</f>
        <v>0</v>
      </c>
      <c r="AG70" s="196">
        <f>0</f>
        <v>0</v>
      </c>
      <c r="AH70" s="196">
        <f>0</f>
        <v>0</v>
      </c>
      <c r="AI70" s="196">
        <f>0</f>
        <v>0</v>
      </c>
      <c r="AJ70" s="196">
        <f>0</f>
        <v>0</v>
      </c>
      <c r="AK70" s="196">
        <f>0</f>
        <v>0</v>
      </c>
      <c r="AL70" s="197">
        <f>0</f>
        <v>0</v>
      </c>
    </row>
    <row r="71" spans="2:39" outlineLevel="2">
      <c r="B71" s="296" t="s">
        <v>353</v>
      </c>
      <c r="C71" s="299" t="s">
        <v>354</v>
      </c>
      <c r="D71" s="298" t="s">
        <v>355</v>
      </c>
      <c r="E71" s="192">
        <f>0</f>
        <v>0</v>
      </c>
      <c r="F71" s="193">
        <f>0</f>
        <v>0</v>
      </c>
      <c r="G71" s="193">
        <f>969733</f>
        <v>969733</v>
      </c>
      <c r="H71" s="194">
        <f>0</f>
        <v>0</v>
      </c>
      <c r="I71" s="195">
        <f>1172835</f>
        <v>1172835</v>
      </c>
      <c r="J71" s="196">
        <f>1861492</f>
        <v>1861492</v>
      </c>
      <c r="K71" s="196">
        <f>1657617</f>
        <v>1657617</v>
      </c>
      <c r="L71" s="196">
        <f>2362481</f>
        <v>2362481</v>
      </c>
      <c r="M71" s="196">
        <f>0</f>
        <v>0</v>
      </c>
      <c r="N71" s="196">
        <f>0</f>
        <v>0</v>
      </c>
      <c r="O71" s="196">
        <f>0</f>
        <v>0</v>
      </c>
      <c r="P71" s="196">
        <f>0</f>
        <v>0</v>
      </c>
      <c r="Q71" s="196">
        <f>0</f>
        <v>0</v>
      </c>
      <c r="R71" s="196">
        <f>0</f>
        <v>0</v>
      </c>
      <c r="S71" s="196">
        <f>0</f>
        <v>0</v>
      </c>
      <c r="T71" s="196">
        <f>0</f>
        <v>0</v>
      </c>
      <c r="U71" s="196">
        <f>0</f>
        <v>0</v>
      </c>
      <c r="V71" s="196">
        <f>0</f>
        <v>0</v>
      </c>
      <c r="W71" s="196">
        <f>0</f>
        <v>0</v>
      </c>
      <c r="X71" s="196">
        <f>0</f>
        <v>0</v>
      </c>
      <c r="Y71" s="196">
        <f>0</f>
        <v>0</v>
      </c>
      <c r="Z71" s="196">
        <f>0</f>
        <v>0</v>
      </c>
      <c r="AA71" s="196">
        <f>0</f>
        <v>0</v>
      </c>
      <c r="AB71" s="196">
        <f>0</f>
        <v>0</v>
      </c>
      <c r="AC71" s="196">
        <f>0</f>
        <v>0</v>
      </c>
      <c r="AD71" s="196">
        <f>0</f>
        <v>0</v>
      </c>
      <c r="AE71" s="196">
        <f>0</f>
        <v>0</v>
      </c>
      <c r="AF71" s="196">
        <f>0</f>
        <v>0</v>
      </c>
      <c r="AG71" s="196">
        <f>0</f>
        <v>0</v>
      </c>
      <c r="AH71" s="196">
        <f>0</f>
        <v>0</v>
      </c>
      <c r="AI71" s="196">
        <f>0</f>
        <v>0</v>
      </c>
      <c r="AJ71" s="196">
        <f>0</f>
        <v>0</v>
      </c>
      <c r="AK71" s="196">
        <f>0</f>
        <v>0</v>
      </c>
      <c r="AL71" s="197">
        <f>0</f>
        <v>0</v>
      </c>
    </row>
    <row r="72" spans="2:39" outlineLevel="2">
      <c r="B72" s="296" t="s">
        <v>356</v>
      </c>
      <c r="C72" s="299" t="s">
        <v>357</v>
      </c>
      <c r="D72" s="298" t="s">
        <v>358</v>
      </c>
      <c r="E72" s="192">
        <f>0</f>
        <v>0</v>
      </c>
      <c r="F72" s="193">
        <f>0</f>
        <v>0</v>
      </c>
      <c r="G72" s="193">
        <f>1654291</f>
        <v>1654291</v>
      </c>
      <c r="H72" s="194">
        <f>0</f>
        <v>0</v>
      </c>
      <c r="I72" s="195">
        <f>713134</f>
        <v>713134</v>
      </c>
      <c r="J72" s="196">
        <f>180000</f>
        <v>180000</v>
      </c>
      <c r="K72" s="196">
        <f>550000</f>
        <v>550000</v>
      </c>
      <c r="L72" s="196">
        <f>410000</f>
        <v>410000</v>
      </c>
      <c r="M72" s="196">
        <f>0</f>
        <v>0</v>
      </c>
      <c r="N72" s="196">
        <f>0</f>
        <v>0</v>
      </c>
      <c r="O72" s="196">
        <f>0</f>
        <v>0</v>
      </c>
      <c r="P72" s="196">
        <f>0</f>
        <v>0</v>
      </c>
      <c r="Q72" s="196">
        <f>0</f>
        <v>0</v>
      </c>
      <c r="R72" s="196">
        <f>0</f>
        <v>0</v>
      </c>
      <c r="S72" s="196">
        <f>0</f>
        <v>0</v>
      </c>
      <c r="T72" s="196">
        <f>0</f>
        <v>0</v>
      </c>
      <c r="U72" s="196">
        <f>0</f>
        <v>0</v>
      </c>
      <c r="V72" s="196">
        <f>0</f>
        <v>0</v>
      </c>
      <c r="W72" s="196">
        <f>0</f>
        <v>0</v>
      </c>
      <c r="X72" s="196">
        <f>0</f>
        <v>0</v>
      </c>
      <c r="Y72" s="196">
        <f>0</f>
        <v>0</v>
      </c>
      <c r="Z72" s="196">
        <f>0</f>
        <v>0</v>
      </c>
      <c r="AA72" s="196">
        <f>0</f>
        <v>0</v>
      </c>
      <c r="AB72" s="196">
        <f>0</f>
        <v>0</v>
      </c>
      <c r="AC72" s="196">
        <f>0</f>
        <v>0</v>
      </c>
      <c r="AD72" s="196">
        <f>0</f>
        <v>0</v>
      </c>
      <c r="AE72" s="196">
        <f>0</f>
        <v>0</v>
      </c>
      <c r="AF72" s="196">
        <f>0</f>
        <v>0</v>
      </c>
      <c r="AG72" s="196">
        <f>0</f>
        <v>0</v>
      </c>
      <c r="AH72" s="196">
        <f>0</f>
        <v>0</v>
      </c>
      <c r="AI72" s="196">
        <f>0</f>
        <v>0</v>
      </c>
      <c r="AJ72" s="196">
        <f>0</f>
        <v>0</v>
      </c>
      <c r="AK72" s="196">
        <f>0</f>
        <v>0</v>
      </c>
      <c r="AL72" s="197">
        <f>0</f>
        <v>0</v>
      </c>
    </row>
    <row r="73" spans="2:39" outlineLevel="2">
      <c r="B73" s="296" t="s">
        <v>359</v>
      </c>
      <c r="C73" s="299" t="s">
        <v>360</v>
      </c>
      <c r="D73" s="298" t="s">
        <v>361</v>
      </c>
      <c r="E73" s="192">
        <f>0</f>
        <v>0</v>
      </c>
      <c r="F73" s="193">
        <f>0</f>
        <v>0</v>
      </c>
      <c r="G73" s="193">
        <f>0</f>
        <v>0</v>
      </c>
      <c r="H73" s="194">
        <f>50000</f>
        <v>50000</v>
      </c>
      <c r="I73" s="195">
        <f>15000</f>
        <v>15000</v>
      </c>
      <c r="J73" s="196">
        <f>0</f>
        <v>0</v>
      </c>
      <c r="K73" s="196">
        <f>0</f>
        <v>0</v>
      </c>
      <c r="L73" s="196">
        <f>0</f>
        <v>0</v>
      </c>
      <c r="M73" s="196">
        <f>0</f>
        <v>0</v>
      </c>
      <c r="N73" s="196">
        <f>0</f>
        <v>0</v>
      </c>
      <c r="O73" s="196">
        <f>0</f>
        <v>0</v>
      </c>
      <c r="P73" s="196">
        <f>0</f>
        <v>0</v>
      </c>
      <c r="Q73" s="196">
        <f>0</f>
        <v>0</v>
      </c>
      <c r="R73" s="196">
        <f>0</f>
        <v>0</v>
      </c>
      <c r="S73" s="196">
        <f>0</f>
        <v>0</v>
      </c>
      <c r="T73" s="196">
        <f>0</f>
        <v>0</v>
      </c>
      <c r="U73" s="196">
        <f>0</f>
        <v>0</v>
      </c>
      <c r="V73" s="196">
        <f>0</f>
        <v>0</v>
      </c>
      <c r="W73" s="196">
        <f>0</f>
        <v>0</v>
      </c>
      <c r="X73" s="196">
        <f>0</f>
        <v>0</v>
      </c>
      <c r="Y73" s="196">
        <f>0</f>
        <v>0</v>
      </c>
      <c r="Z73" s="196">
        <f>0</f>
        <v>0</v>
      </c>
      <c r="AA73" s="196">
        <f>0</f>
        <v>0</v>
      </c>
      <c r="AB73" s="196">
        <f>0</f>
        <v>0</v>
      </c>
      <c r="AC73" s="196">
        <f>0</f>
        <v>0</v>
      </c>
      <c r="AD73" s="196">
        <f>0</f>
        <v>0</v>
      </c>
      <c r="AE73" s="196">
        <f>0</f>
        <v>0</v>
      </c>
      <c r="AF73" s="196">
        <f>0</f>
        <v>0</v>
      </c>
      <c r="AG73" s="196">
        <f>0</f>
        <v>0</v>
      </c>
      <c r="AH73" s="196">
        <f>0</f>
        <v>0</v>
      </c>
      <c r="AI73" s="196">
        <f>0</f>
        <v>0</v>
      </c>
      <c r="AJ73" s="196">
        <f>0</f>
        <v>0</v>
      </c>
      <c r="AK73" s="196">
        <f>0</f>
        <v>0</v>
      </c>
      <c r="AL73" s="197">
        <f>0</f>
        <v>0</v>
      </c>
    </row>
    <row r="74" spans="2:39" ht="24" outlineLevel="1">
      <c r="B74" s="292">
        <v>12</v>
      </c>
      <c r="C74" s="293" t="s">
        <v>362</v>
      </c>
      <c r="D74" s="294" t="s">
        <v>362</v>
      </c>
      <c r="E74" s="198" t="s">
        <v>204</v>
      </c>
      <c r="F74" s="199" t="s">
        <v>204</v>
      </c>
      <c r="G74" s="199" t="s">
        <v>204</v>
      </c>
      <c r="H74" s="200" t="s">
        <v>204</v>
      </c>
      <c r="I74" s="201" t="s">
        <v>204</v>
      </c>
      <c r="J74" s="202" t="s">
        <v>204</v>
      </c>
      <c r="K74" s="202" t="s">
        <v>204</v>
      </c>
      <c r="L74" s="202" t="s">
        <v>204</v>
      </c>
      <c r="M74" s="202" t="s">
        <v>204</v>
      </c>
      <c r="N74" s="202" t="s">
        <v>204</v>
      </c>
      <c r="O74" s="202" t="s">
        <v>204</v>
      </c>
      <c r="P74" s="202" t="s">
        <v>204</v>
      </c>
      <c r="Q74" s="202" t="s">
        <v>204</v>
      </c>
      <c r="R74" s="202" t="s">
        <v>204</v>
      </c>
      <c r="S74" s="202" t="s">
        <v>204</v>
      </c>
      <c r="T74" s="202" t="s">
        <v>204</v>
      </c>
      <c r="U74" s="202" t="s">
        <v>204</v>
      </c>
      <c r="V74" s="202" t="s">
        <v>204</v>
      </c>
      <c r="W74" s="202" t="s">
        <v>204</v>
      </c>
      <c r="X74" s="202" t="s">
        <v>204</v>
      </c>
      <c r="Y74" s="202" t="s">
        <v>204</v>
      </c>
      <c r="Z74" s="202" t="s">
        <v>204</v>
      </c>
      <c r="AA74" s="202" t="s">
        <v>204</v>
      </c>
      <c r="AB74" s="202" t="s">
        <v>204</v>
      </c>
      <c r="AC74" s="202" t="s">
        <v>204</v>
      </c>
      <c r="AD74" s="202" t="s">
        <v>204</v>
      </c>
      <c r="AE74" s="202" t="s">
        <v>204</v>
      </c>
      <c r="AF74" s="202" t="s">
        <v>204</v>
      </c>
      <c r="AG74" s="202" t="s">
        <v>204</v>
      </c>
      <c r="AH74" s="202" t="s">
        <v>204</v>
      </c>
      <c r="AI74" s="202" t="s">
        <v>204</v>
      </c>
      <c r="AJ74" s="202" t="s">
        <v>204</v>
      </c>
      <c r="AK74" s="202" t="s">
        <v>204</v>
      </c>
      <c r="AL74" s="203" t="s">
        <v>204</v>
      </c>
      <c r="AM74" s="295"/>
    </row>
    <row r="75" spans="2:39" ht="24" outlineLevel="2">
      <c r="B75" s="296" t="s">
        <v>363</v>
      </c>
      <c r="C75" s="299" t="s">
        <v>364</v>
      </c>
      <c r="D75" s="298" t="s">
        <v>365</v>
      </c>
      <c r="E75" s="192">
        <f>112228.46</f>
        <v>112228.46</v>
      </c>
      <c r="F75" s="193">
        <f>518036.87</f>
        <v>518036.87</v>
      </c>
      <c r="G75" s="193">
        <f>743864.46</f>
        <v>743864.46</v>
      </c>
      <c r="H75" s="194">
        <f>667765.52</f>
        <v>667765.52</v>
      </c>
      <c r="I75" s="195">
        <f>635275.2</f>
        <v>635275.19999999995</v>
      </c>
      <c r="J75" s="196">
        <f>213580</f>
        <v>213580</v>
      </c>
      <c r="K75" s="196">
        <f>47000</f>
        <v>47000</v>
      </c>
      <c r="L75" s="196">
        <f>47000</f>
        <v>47000</v>
      </c>
      <c r="M75" s="196">
        <f>0</f>
        <v>0</v>
      </c>
      <c r="N75" s="196">
        <f>0</f>
        <v>0</v>
      </c>
      <c r="O75" s="196">
        <f>0</f>
        <v>0</v>
      </c>
      <c r="P75" s="196">
        <f>0</f>
        <v>0</v>
      </c>
      <c r="Q75" s="196">
        <f>0</f>
        <v>0</v>
      </c>
      <c r="R75" s="196">
        <f>0</f>
        <v>0</v>
      </c>
      <c r="S75" s="196">
        <f>0</f>
        <v>0</v>
      </c>
      <c r="T75" s="196">
        <f>0</f>
        <v>0</v>
      </c>
      <c r="U75" s="196">
        <f>0</f>
        <v>0</v>
      </c>
      <c r="V75" s="196">
        <f>0</f>
        <v>0</v>
      </c>
      <c r="W75" s="196">
        <f>0</f>
        <v>0</v>
      </c>
      <c r="X75" s="196">
        <f>0</f>
        <v>0</v>
      </c>
      <c r="Y75" s="196">
        <f>0</f>
        <v>0</v>
      </c>
      <c r="Z75" s="196">
        <f>0</f>
        <v>0</v>
      </c>
      <c r="AA75" s="196">
        <f>0</f>
        <v>0</v>
      </c>
      <c r="AB75" s="196">
        <f>0</f>
        <v>0</v>
      </c>
      <c r="AC75" s="196">
        <f>0</f>
        <v>0</v>
      </c>
      <c r="AD75" s="196">
        <f>0</f>
        <v>0</v>
      </c>
      <c r="AE75" s="196">
        <f>0</f>
        <v>0</v>
      </c>
      <c r="AF75" s="196">
        <f>0</f>
        <v>0</v>
      </c>
      <c r="AG75" s="196">
        <f>0</f>
        <v>0</v>
      </c>
      <c r="AH75" s="196">
        <f>0</f>
        <v>0</v>
      </c>
      <c r="AI75" s="196">
        <f>0</f>
        <v>0</v>
      </c>
      <c r="AJ75" s="196">
        <f>0</f>
        <v>0</v>
      </c>
      <c r="AK75" s="196">
        <f>0</f>
        <v>0</v>
      </c>
      <c r="AL75" s="197">
        <f>0</f>
        <v>0</v>
      </c>
    </row>
    <row r="76" spans="2:39" outlineLevel="3">
      <c r="B76" s="296" t="s">
        <v>366</v>
      </c>
      <c r="C76" s="299" t="s">
        <v>367</v>
      </c>
      <c r="D76" s="305" t="s">
        <v>368</v>
      </c>
      <c r="E76" s="192">
        <f>112228.46</f>
        <v>112228.46</v>
      </c>
      <c r="F76" s="193">
        <f>518036.87</f>
        <v>518036.87</v>
      </c>
      <c r="G76" s="193">
        <f>519567.25</f>
        <v>519567.25</v>
      </c>
      <c r="H76" s="194">
        <f>595918.33</f>
        <v>595918.32999999996</v>
      </c>
      <c r="I76" s="195">
        <f>572007.19</f>
        <v>572007.18999999994</v>
      </c>
      <c r="J76" s="196">
        <f>193130</f>
        <v>193130</v>
      </c>
      <c r="K76" s="196">
        <f>42500</f>
        <v>42500</v>
      </c>
      <c r="L76" s="196">
        <f>42500</f>
        <v>42500</v>
      </c>
      <c r="M76" s="196">
        <f>0</f>
        <v>0</v>
      </c>
      <c r="N76" s="196">
        <f>0</f>
        <v>0</v>
      </c>
      <c r="O76" s="196">
        <f>0</f>
        <v>0</v>
      </c>
      <c r="P76" s="196">
        <f>0</f>
        <v>0</v>
      </c>
      <c r="Q76" s="196">
        <f>0</f>
        <v>0</v>
      </c>
      <c r="R76" s="196">
        <f>0</f>
        <v>0</v>
      </c>
      <c r="S76" s="196">
        <f>0</f>
        <v>0</v>
      </c>
      <c r="T76" s="196">
        <f>0</f>
        <v>0</v>
      </c>
      <c r="U76" s="196">
        <f>0</f>
        <v>0</v>
      </c>
      <c r="V76" s="196">
        <f>0</f>
        <v>0</v>
      </c>
      <c r="W76" s="196">
        <f>0</f>
        <v>0</v>
      </c>
      <c r="X76" s="196">
        <f>0</f>
        <v>0</v>
      </c>
      <c r="Y76" s="196">
        <f>0</f>
        <v>0</v>
      </c>
      <c r="Z76" s="196">
        <f>0</f>
        <v>0</v>
      </c>
      <c r="AA76" s="196">
        <f>0</f>
        <v>0</v>
      </c>
      <c r="AB76" s="196">
        <f>0</f>
        <v>0</v>
      </c>
      <c r="AC76" s="196">
        <f>0</f>
        <v>0</v>
      </c>
      <c r="AD76" s="196">
        <f>0</f>
        <v>0</v>
      </c>
      <c r="AE76" s="196">
        <f>0</f>
        <v>0</v>
      </c>
      <c r="AF76" s="196">
        <f>0</f>
        <v>0</v>
      </c>
      <c r="AG76" s="196">
        <f>0</f>
        <v>0</v>
      </c>
      <c r="AH76" s="196">
        <f>0</f>
        <v>0</v>
      </c>
      <c r="AI76" s="196">
        <f>0</f>
        <v>0</v>
      </c>
      <c r="AJ76" s="196">
        <f>0</f>
        <v>0</v>
      </c>
      <c r="AK76" s="196">
        <f>0</f>
        <v>0</v>
      </c>
      <c r="AL76" s="197">
        <f>0</f>
        <v>0</v>
      </c>
    </row>
    <row r="77" spans="2:39" ht="24" customHeight="1" outlineLevel="4">
      <c r="B77" s="296" t="s">
        <v>369</v>
      </c>
      <c r="C77" s="299" t="s">
        <v>370</v>
      </c>
      <c r="D77" s="306" t="s">
        <v>371</v>
      </c>
      <c r="E77" s="192">
        <f>0</f>
        <v>0</v>
      </c>
      <c r="F77" s="193">
        <f>0</f>
        <v>0</v>
      </c>
      <c r="G77" s="193">
        <f>519567.25</f>
        <v>519567.25</v>
      </c>
      <c r="H77" s="194">
        <f>595918.33</f>
        <v>595918.32999999996</v>
      </c>
      <c r="I77" s="195">
        <f>572007.19</f>
        <v>572007.18999999994</v>
      </c>
      <c r="J77" s="196">
        <f>0</f>
        <v>0</v>
      </c>
      <c r="K77" s="196">
        <f>0</f>
        <v>0</v>
      </c>
      <c r="L77" s="196">
        <f>0</f>
        <v>0</v>
      </c>
      <c r="M77" s="196">
        <f>0</f>
        <v>0</v>
      </c>
      <c r="N77" s="196">
        <f>0</f>
        <v>0</v>
      </c>
      <c r="O77" s="196">
        <f>0</f>
        <v>0</v>
      </c>
      <c r="P77" s="196">
        <f>0</f>
        <v>0</v>
      </c>
      <c r="Q77" s="196">
        <f>0</f>
        <v>0</v>
      </c>
      <c r="R77" s="196">
        <f>0</f>
        <v>0</v>
      </c>
      <c r="S77" s="196">
        <f>0</f>
        <v>0</v>
      </c>
      <c r="T77" s="196">
        <f>0</f>
        <v>0</v>
      </c>
      <c r="U77" s="196">
        <f>0</f>
        <v>0</v>
      </c>
      <c r="V77" s="196">
        <f>0</f>
        <v>0</v>
      </c>
      <c r="W77" s="196">
        <f>0</f>
        <v>0</v>
      </c>
      <c r="X77" s="196">
        <f>0</f>
        <v>0</v>
      </c>
      <c r="Y77" s="196">
        <f>0</f>
        <v>0</v>
      </c>
      <c r="Z77" s="196">
        <f>0</f>
        <v>0</v>
      </c>
      <c r="AA77" s="196">
        <f>0</f>
        <v>0</v>
      </c>
      <c r="AB77" s="196">
        <f>0</f>
        <v>0</v>
      </c>
      <c r="AC77" s="196">
        <f>0</f>
        <v>0</v>
      </c>
      <c r="AD77" s="196">
        <f>0</f>
        <v>0</v>
      </c>
      <c r="AE77" s="196">
        <f>0</f>
        <v>0</v>
      </c>
      <c r="AF77" s="196">
        <f>0</f>
        <v>0</v>
      </c>
      <c r="AG77" s="196">
        <f>0</f>
        <v>0</v>
      </c>
      <c r="AH77" s="196">
        <f>0</f>
        <v>0</v>
      </c>
      <c r="AI77" s="196">
        <f>0</f>
        <v>0</v>
      </c>
      <c r="AJ77" s="196">
        <f>0</f>
        <v>0</v>
      </c>
      <c r="AK77" s="196">
        <f>0</f>
        <v>0</v>
      </c>
      <c r="AL77" s="197">
        <f>0</f>
        <v>0</v>
      </c>
    </row>
    <row r="78" spans="2:39" ht="24" outlineLevel="2">
      <c r="B78" s="296" t="s">
        <v>372</v>
      </c>
      <c r="C78" s="299" t="s">
        <v>373</v>
      </c>
      <c r="D78" s="298" t="s">
        <v>374</v>
      </c>
      <c r="E78" s="192">
        <f>2533289.46</f>
        <v>2533289.46</v>
      </c>
      <c r="F78" s="193">
        <f>2345848.47</f>
        <v>2345848.4700000002</v>
      </c>
      <c r="G78" s="193">
        <f>1674776</f>
        <v>1674776</v>
      </c>
      <c r="H78" s="194">
        <f>1341580.04</f>
        <v>1341580.04</v>
      </c>
      <c r="I78" s="195">
        <f>834288</f>
        <v>834288</v>
      </c>
      <c r="J78" s="196">
        <f>24000</f>
        <v>24000</v>
      </c>
      <c r="K78" s="196">
        <f>123000</f>
        <v>123000</v>
      </c>
      <c r="L78" s="196">
        <f>351000</f>
        <v>351000</v>
      </c>
      <c r="M78" s="196">
        <f>897500</f>
        <v>897500</v>
      </c>
      <c r="N78" s="196">
        <f>1183800</f>
        <v>1183800</v>
      </c>
      <c r="O78" s="196">
        <f>920000</f>
        <v>920000</v>
      </c>
      <c r="P78" s="196">
        <f>2380000</f>
        <v>2380000</v>
      </c>
      <c r="Q78" s="196">
        <f>4030000</f>
        <v>4030000</v>
      </c>
      <c r="R78" s="196">
        <f>4570000</f>
        <v>4570000</v>
      </c>
      <c r="S78" s="196">
        <f>0</f>
        <v>0</v>
      </c>
      <c r="T78" s="196">
        <f>0</f>
        <v>0</v>
      </c>
      <c r="U78" s="196">
        <f>0</f>
        <v>0</v>
      </c>
      <c r="V78" s="196">
        <f>0</f>
        <v>0</v>
      </c>
      <c r="W78" s="196">
        <f>0</f>
        <v>0</v>
      </c>
      <c r="X78" s="196">
        <f>0</f>
        <v>0</v>
      </c>
      <c r="Y78" s="196">
        <f>0</f>
        <v>0</v>
      </c>
      <c r="Z78" s="196">
        <f>0</f>
        <v>0</v>
      </c>
      <c r="AA78" s="196">
        <f>0</f>
        <v>0</v>
      </c>
      <c r="AB78" s="196">
        <f>0</f>
        <v>0</v>
      </c>
      <c r="AC78" s="196">
        <f>0</f>
        <v>0</v>
      </c>
      <c r="AD78" s="196">
        <f>0</f>
        <v>0</v>
      </c>
      <c r="AE78" s="196">
        <f>0</f>
        <v>0</v>
      </c>
      <c r="AF78" s="196">
        <f>0</f>
        <v>0</v>
      </c>
      <c r="AG78" s="196">
        <f>0</f>
        <v>0</v>
      </c>
      <c r="AH78" s="196">
        <f>0</f>
        <v>0</v>
      </c>
      <c r="AI78" s="196">
        <f>0</f>
        <v>0</v>
      </c>
      <c r="AJ78" s="196">
        <f>0</f>
        <v>0</v>
      </c>
      <c r="AK78" s="196">
        <f>0</f>
        <v>0</v>
      </c>
      <c r="AL78" s="197">
        <f>0</f>
        <v>0</v>
      </c>
    </row>
    <row r="79" spans="2:39" outlineLevel="3">
      <c r="B79" s="296" t="s">
        <v>375</v>
      </c>
      <c r="C79" s="299" t="s">
        <v>376</v>
      </c>
      <c r="D79" s="305" t="s">
        <v>368</v>
      </c>
      <c r="E79" s="192">
        <f>2533289.46</f>
        <v>2533289.46</v>
      </c>
      <c r="F79" s="193">
        <f>2345848.47</f>
        <v>2345848.4700000002</v>
      </c>
      <c r="G79" s="193">
        <f>1674776</f>
        <v>1674776</v>
      </c>
      <c r="H79" s="194">
        <f>1311948.96</f>
        <v>1311948.96</v>
      </c>
      <c r="I79" s="195">
        <f>834288</f>
        <v>834288</v>
      </c>
      <c r="J79" s="196">
        <f>24000</f>
        <v>24000</v>
      </c>
      <c r="K79" s="196">
        <f>123000</f>
        <v>123000</v>
      </c>
      <c r="L79" s="196">
        <f>351000</f>
        <v>351000</v>
      </c>
      <c r="M79" s="196">
        <f>897500</f>
        <v>897500</v>
      </c>
      <c r="N79" s="196">
        <f>1183800</f>
        <v>1183800</v>
      </c>
      <c r="O79" s="196">
        <f>920000</f>
        <v>920000</v>
      </c>
      <c r="P79" s="196">
        <f>2380000</f>
        <v>2380000</v>
      </c>
      <c r="Q79" s="196">
        <f>4030000</f>
        <v>4030000</v>
      </c>
      <c r="R79" s="196">
        <f>4570000</f>
        <v>4570000</v>
      </c>
      <c r="S79" s="196">
        <f>0</f>
        <v>0</v>
      </c>
      <c r="T79" s="196">
        <f>0</f>
        <v>0</v>
      </c>
      <c r="U79" s="196">
        <f>0</f>
        <v>0</v>
      </c>
      <c r="V79" s="196">
        <f>0</f>
        <v>0</v>
      </c>
      <c r="W79" s="196">
        <f>0</f>
        <v>0</v>
      </c>
      <c r="X79" s="196">
        <f>0</f>
        <v>0</v>
      </c>
      <c r="Y79" s="196">
        <f>0</f>
        <v>0</v>
      </c>
      <c r="Z79" s="196">
        <f>0</f>
        <v>0</v>
      </c>
      <c r="AA79" s="196">
        <f>0</f>
        <v>0</v>
      </c>
      <c r="AB79" s="196">
        <f>0</f>
        <v>0</v>
      </c>
      <c r="AC79" s="196">
        <f>0</f>
        <v>0</v>
      </c>
      <c r="AD79" s="196">
        <f>0</f>
        <v>0</v>
      </c>
      <c r="AE79" s="196">
        <f>0</f>
        <v>0</v>
      </c>
      <c r="AF79" s="196">
        <f>0</f>
        <v>0</v>
      </c>
      <c r="AG79" s="196">
        <f>0</f>
        <v>0</v>
      </c>
      <c r="AH79" s="196">
        <f>0</f>
        <v>0</v>
      </c>
      <c r="AI79" s="196">
        <f>0</f>
        <v>0</v>
      </c>
      <c r="AJ79" s="196">
        <f>0</f>
        <v>0</v>
      </c>
      <c r="AK79" s="196">
        <f>0</f>
        <v>0</v>
      </c>
      <c r="AL79" s="197">
        <f>0</f>
        <v>0</v>
      </c>
    </row>
    <row r="80" spans="2:39" ht="24" outlineLevel="4">
      <c r="B80" s="296" t="s">
        <v>377</v>
      </c>
      <c r="C80" s="299" t="s">
        <v>378</v>
      </c>
      <c r="D80" s="306" t="s">
        <v>379</v>
      </c>
      <c r="E80" s="192">
        <f>0</f>
        <v>0</v>
      </c>
      <c r="F80" s="193">
        <f>0</f>
        <v>0</v>
      </c>
      <c r="G80" s="193">
        <f>1674776</f>
        <v>1674776</v>
      </c>
      <c r="H80" s="194">
        <f>1311948.96</f>
        <v>1311948.96</v>
      </c>
      <c r="I80" s="195">
        <f>834288</f>
        <v>834288</v>
      </c>
      <c r="J80" s="196">
        <f>0</f>
        <v>0</v>
      </c>
      <c r="K80" s="196">
        <f>0</f>
        <v>0</v>
      </c>
      <c r="L80" s="196">
        <f>0</f>
        <v>0</v>
      </c>
      <c r="M80" s="196">
        <f>0</f>
        <v>0</v>
      </c>
      <c r="N80" s="196">
        <f>0</f>
        <v>0</v>
      </c>
      <c r="O80" s="196">
        <f>0</f>
        <v>0</v>
      </c>
      <c r="P80" s="196">
        <f>0</f>
        <v>0</v>
      </c>
      <c r="Q80" s="196">
        <f>0</f>
        <v>0</v>
      </c>
      <c r="R80" s="196">
        <f>0</f>
        <v>0</v>
      </c>
      <c r="S80" s="196">
        <f>0</f>
        <v>0</v>
      </c>
      <c r="T80" s="196">
        <f>0</f>
        <v>0</v>
      </c>
      <c r="U80" s="196">
        <f>0</f>
        <v>0</v>
      </c>
      <c r="V80" s="196">
        <f>0</f>
        <v>0</v>
      </c>
      <c r="W80" s="196">
        <f>0</f>
        <v>0</v>
      </c>
      <c r="X80" s="196">
        <f>0</f>
        <v>0</v>
      </c>
      <c r="Y80" s="196">
        <f>0</f>
        <v>0</v>
      </c>
      <c r="Z80" s="196">
        <f>0</f>
        <v>0</v>
      </c>
      <c r="AA80" s="196">
        <f>0</f>
        <v>0</v>
      </c>
      <c r="AB80" s="196">
        <f>0</f>
        <v>0</v>
      </c>
      <c r="AC80" s="196">
        <f>0</f>
        <v>0</v>
      </c>
      <c r="AD80" s="196">
        <f>0</f>
        <v>0</v>
      </c>
      <c r="AE80" s="196">
        <f>0</f>
        <v>0</v>
      </c>
      <c r="AF80" s="196">
        <f>0</f>
        <v>0</v>
      </c>
      <c r="AG80" s="196">
        <f>0</f>
        <v>0</v>
      </c>
      <c r="AH80" s="196">
        <f>0</f>
        <v>0</v>
      </c>
      <c r="AI80" s="196">
        <f>0</f>
        <v>0</v>
      </c>
      <c r="AJ80" s="196">
        <f>0</f>
        <v>0</v>
      </c>
      <c r="AK80" s="196">
        <f>0</f>
        <v>0</v>
      </c>
      <c r="AL80" s="197">
        <f>0</f>
        <v>0</v>
      </c>
    </row>
    <row r="81" spans="2:39" ht="24" outlineLevel="2">
      <c r="B81" s="296" t="s">
        <v>380</v>
      </c>
      <c r="C81" s="299" t="s">
        <v>381</v>
      </c>
      <c r="D81" s="298" t="s">
        <v>382</v>
      </c>
      <c r="E81" s="192">
        <f>0</f>
        <v>0</v>
      </c>
      <c r="F81" s="193">
        <f>771596.52</f>
        <v>771596.52</v>
      </c>
      <c r="G81" s="193">
        <f>630827.4</f>
        <v>630827.4</v>
      </c>
      <c r="H81" s="194">
        <f>629605.21</f>
        <v>629605.21</v>
      </c>
      <c r="I81" s="195">
        <f>687898.78</f>
        <v>687898.78</v>
      </c>
      <c r="J81" s="196">
        <f>287212</f>
        <v>287212</v>
      </c>
      <c r="K81" s="196">
        <f>110000</f>
        <v>110000</v>
      </c>
      <c r="L81" s="196">
        <f>110000</f>
        <v>110000</v>
      </c>
      <c r="M81" s="196">
        <f>60000</f>
        <v>60000</v>
      </c>
      <c r="N81" s="196">
        <f>60000</f>
        <v>60000</v>
      </c>
      <c r="O81" s="196">
        <f>0</f>
        <v>0</v>
      </c>
      <c r="P81" s="196">
        <f>0</f>
        <v>0</v>
      </c>
      <c r="Q81" s="196">
        <f>0</f>
        <v>0</v>
      </c>
      <c r="R81" s="196">
        <f>0</f>
        <v>0</v>
      </c>
      <c r="S81" s="196">
        <f>0</f>
        <v>0</v>
      </c>
      <c r="T81" s="196">
        <f>0</f>
        <v>0</v>
      </c>
      <c r="U81" s="196">
        <f>0</f>
        <v>0</v>
      </c>
      <c r="V81" s="196">
        <f>0</f>
        <v>0</v>
      </c>
      <c r="W81" s="196">
        <f>0</f>
        <v>0</v>
      </c>
      <c r="X81" s="196">
        <f>0</f>
        <v>0</v>
      </c>
      <c r="Y81" s="196">
        <f>0</f>
        <v>0</v>
      </c>
      <c r="Z81" s="196">
        <f>0</f>
        <v>0</v>
      </c>
      <c r="AA81" s="196">
        <f>0</f>
        <v>0</v>
      </c>
      <c r="AB81" s="196">
        <f>0</f>
        <v>0</v>
      </c>
      <c r="AC81" s="196">
        <f>0</f>
        <v>0</v>
      </c>
      <c r="AD81" s="196">
        <f>0</f>
        <v>0</v>
      </c>
      <c r="AE81" s="196">
        <f>0</f>
        <v>0</v>
      </c>
      <c r="AF81" s="196">
        <f>0</f>
        <v>0</v>
      </c>
      <c r="AG81" s="196">
        <f>0</f>
        <v>0</v>
      </c>
      <c r="AH81" s="196">
        <f>0</f>
        <v>0</v>
      </c>
      <c r="AI81" s="196">
        <f>0</f>
        <v>0</v>
      </c>
      <c r="AJ81" s="196">
        <f>0</f>
        <v>0</v>
      </c>
      <c r="AK81" s="196">
        <f>0</f>
        <v>0</v>
      </c>
      <c r="AL81" s="197">
        <f>0</f>
        <v>0</v>
      </c>
    </row>
    <row r="82" spans="2:39" ht="16.5" customHeight="1" outlineLevel="3">
      <c r="B82" s="296" t="s">
        <v>383</v>
      </c>
      <c r="C82" s="299" t="s">
        <v>384</v>
      </c>
      <c r="D82" s="305" t="s">
        <v>385</v>
      </c>
      <c r="E82" s="192">
        <f>0</f>
        <v>0</v>
      </c>
      <c r="F82" s="193">
        <f>518036.87</f>
        <v>518036.87</v>
      </c>
      <c r="G82" s="193">
        <f>524218</f>
        <v>524218</v>
      </c>
      <c r="H82" s="194">
        <f>535009.94</f>
        <v>535009.93999999994</v>
      </c>
      <c r="I82" s="195">
        <f>531687</f>
        <v>531687</v>
      </c>
      <c r="J82" s="196">
        <f>193130</f>
        <v>193130</v>
      </c>
      <c r="K82" s="196">
        <f>42500</f>
        <v>42500</v>
      </c>
      <c r="L82" s="196">
        <f>42500</f>
        <v>42500</v>
      </c>
      <c r="M82" s="196">
        <f>0</f>
        <v>0</v>
      </c>
      <c r="N82" s="196">
        <f>0</f>
        <v>0</v>
      </c>
      <c r="O82" s="196">
        <f>0</f>
        <v>0</v>
      </c>
      <c r="P82" s="196">
        <f>0</f>
        <v>0</v>
      </c>
      <c r="Q82" s="196">
        <f>0</f>
        <v>0</v>
      </c>
      <c r="R82" s="196">
        <f>0</f>
        <v>0</v>
      </c>
      <c r="S82" s="196">
        <f>0</f>
        <v>0</v>
      </c>
      <c r="T82" s="196">
        <f>0</f>
        <v>0</v>
      </c>
      <c r="U82" s="196">
        <f>0</f>
        <v>0</v>
      </c>
      <c r="V82" s="196">
        <f>0</f>
        <v>0</v>
      </c>
      <c r="W82" s="196">
        <f>0</f>
        <v>0</v>
      </c>
      <c r="X82" s="196">
        <f>0</f>
        <v>0</v>
      </c>
      <c r="Y82" s="196">
        <f>0</f>
        <v>0</v>
      </c>
      <c r="Z82" s="196">
        <f>0</f>
        <v>0</v>
      </c>
      <c r="AA82" s="196">
        <f>0</f>
        <v>0</v>
      </c>
      <c r="AB82" s="196">
        <f>0</f>
        <v>0</v>
      </c>
      <c r="AC82" s="196">
        <f>0</f>
        <v>0</v>
      </c>
      <c r="AD82" s="196">
        <f>0</f>
        <v>0</v>
      </c>
      <c r="AE82" s="196">
        <f>0</f>
        <v>0</v>
      </c>
      <c r="AF82" s="196">
        <f>0</f>
        <v>0</v>
      </c>
      <c r="AG82" s="196">
        <f>0</f>
        <v>0</v>
      </c>
      <c r="AH82" s="196">
        <f>0</f>
        <v>0</v>
      </c>
      <c r="AI82" s="196">
        <f>0</f>
        <v>0</v>
      </c>
      <c r="AJ82" s="196">
        <f>0</f>
        <v>0</v>
      </c>
      <c r="AK82" s="196">
        <f>0</f>
        <v>0</v>
      </c>
      <c r="AL82" s="197">
        <f>0</f>
        <v>0</v>
      </c>
    </row>
    <row r="83" spans="2:39" ht="36.75" customHeight="1" outlineLevel="3">
      <c r="B83" s="296" t="s">
        <v>386</v>
      </c>
      <c r="C83" s="299" t="s">
        <v>387</v>
      </c>
      <c r="D83" s="300" t="s">
        <v>388</v>
      </c>
      <c r="E83" s="192">
        <f>0</f>
        <v>0</v>
      </c>
      <c r="F83" s="193">
        <f>0</f>
        <v>0</v>
      </c>
      <c r="G83" s="193">
        <f>0</f>
        <v>0</v>
      </c>
      <c r="H83" s="194">
        <f>0</f>
        <v>0</v>
      </c>
      <c r="I83" s="195">
        <f>0</f>
        <v>0</v>
      </c>
      <c r="J83" s="196">
        <f>0</f>
        <v>0</v>
      </c>
      <c r="K83" s="196">
        <f>0</f>
        <v>0</v>
      </c>
      <c r="L83" s="196">
        <f>0</f>
        <v>0</v>
      </c>
      <c r="M83" s="196">
        <f>0</f>
        <v>0</v>
      </c>
      <c r="N83" s="196">
        <f>0</f>
        <v>0</v>
      </c>
      <c r="O83" s="196">
        <f>0</f>
        <v>0</v>
      </c>
      <c r="P83" s="196">
        <f>0</f>
        <v>0</v>
      </c>
      <c r="Q83" s="196">
        <f>0</f>
        <v>0</v>
      </c>
      <c r="R83" s="196">
        <f>0</f>
        <v>0</v>
      </c>
      <c r="S83" s="196">
        <f>0</f>
        <v>0</v>
      </c>
      <c r="T83" s="196">
        <f>0</f>
        <v>0</v>
      </c>
      <c r="U83" s="196">
        <f>0</f>
        <v>0</v>
      </c>
      <c r="V83" s="196">
        <f>0</f>
        <v>0</v>
      </c>
      <c r="W83" s="196">
        <f>0</f>
        <v>0</v>
      </c>
      <c r="X83" s="196">
        <f>0</f>
        <v>0</v>
      </c>
      <c r="Y83" s="196">
        <f>0</f>
        <v>0</v>
      </c>
      <c r="Z83" s="196">
        <f>0</f>
        <v>0</v>
      </c>
      <c r="AA83" s="196">
        <f>0</f>
        <v>0</v>
      </c>
      <c r="AB83" s="196">
        <f>0</f>
        <v>0</v>
      </c>
      <c r="AC83" s="196">
        <f>0</f>
        <v>0</v>
      </c>
      <c r="AD83" s="196">
        <f>0</f>
        <v>0</v>
      </c>
      <c r="AE83" s="196">
        <f>0</f>
        <v>0</v>
      </c>
      <c r="AF83" s="196">
        <f>0</f>
        <v>0</v>
      </c>
      <c r="AG83" s="196">
        <f>0</f>
        <v>0</v>
      </c>
      <c r="AH83" s="196">
        <f>0</f>
        <v>0</v>
      </c>
      <c r="AI83" s="196">
        <f>0</f>
        <v>0</v>
      </c>
      <c r="AJ83" s="196">
        <f>0</f>
        <v>0</v>
      </c>
      <c r="AK83" s="196">
        <f>0</f>
        <v>0</v>
      </c>
      <c r="AL83" s="197">
        <f>0</f>
        <v>0</v>
      </c>
    </row>
    <row r="84" spans="2:39" ht="24" outlineLevel="2">
      <c r="B84" s="296" t="s">
        <v>389</v>
      </c>
      <c r="C84" s="299" t="s">
        <v>390</v>
      </c>
      <c r="D84" s="298" t="s">
        <v>391</v>
      </c>
      <c r="E84" s="192">
        <f>0</f>
        <v>0</v>
      </c>
      <c r="F84" s="193">
        <f>6894736.61</f>
        <v>6894736.6100000003</v>
      </c>
      <c r="G84" s="193">
        <f>1682596</f>
        <v>1682596</v>
      </c>
      <c r="H84" s="194">
        <f>1377404.19</f>
        <v>1377404.19</v>
      </c>
      <c r="I84" s="195">
        <f>807195.37</f>
        <v>807195.37</v>
      </c>
      <c r="J84" s="196">
        <f>505473</f>
        <v>505473</v>
      </c>
      <c r="K84" s="196">
        <f>327430</f>
        <v>327430</v>
      </c>
      <c r="L84" s="196">
        <f>900000</f>
        <v>900000</v>
      </c>
      <c r="M84" s="196">
        <f>1735000</f>
        <v>1735000</v>
      </c>
      <c r="N84" s="196">
        <f>2287845</f>
        <v>2287845</v>
      </c>
      <c r="O84" s="196">
        <f>2250000</f>
        <v>2250000</v>
      </c>
      <c r="P84" s="196">
        <f>4874000</f>
        <v>4874000</v>
      </c>
      <c r="Q84" s="196">
        <f>8200000</f>
        <v>8200000</v>
      </c>
      <c r="R84" s="196">
        <f>8850000</f>
        <v>8850000</v>
      </c>
      <c r="S84" s="196">
        <f>0</f>
        <v>0</v>
      </c>
      <c r="T84" s="196">
        <f>0</f>
        <v>0</v>
      </c>
      <c r="U84" s="196">
        <f>0</f>
        <v>0</v>
      </c>
      <c r="V84" s="196">
        <f>0</f>
        <v>0</v>
      </c>
      <c r="W84" s="196">
        <f>0</f>
        <v>0</v>
      </c>
      <c r="X84" s="196">
        <f>0</f>
        <v>0</v>
      </c>
      <c r="Y84" s="196">
        <f>0</f>
        <v>0</v>
      </c>
      <c r="Z84" s="196">
        <f>0</f>
        <v>0</v>
      </c>
      <c r="AA84" s="196">
        <f>0</f>
        <v>0</v>
      </c>
      <c r="AB84" s="196">
        <f>0</f>
        <v>0</v>
      </c>
      <c r="AC84" s="196">
        <f>0</f>
        <v>0</v>
      </c>
      <c r="AD84" s="196">
        <f>0</f>
        <v>0</v>
      </c>
      <c r="AE84" s="196">
        <f>0</f>
        <v>0</v>
      </c>
      <c r="AF84" s="196">
        <f>0</f>
        <v>0</v>
      </c>
      <c r="AG84" s="196">
        <f>0</f>
        <v>0</v>
      </c>
      <c r="AH84" s="196">
        <f>0</f>
        <v>0</v>
      </c>
      <c r="AI84" s="196">
        <f>0</f>
        <v>0</v>
      </c>
      <c r="AJ84" s="196">
        <f>0</f>
        <v>0</v>
      </c>
      <c r="AK84" s="196">
        <f>0</f>
        <v>0</v>
      </c>
      <c r="AL84" s="197">
        <f>0</f>
        <v>0</v>
      </c>
    </row>
    <row r="85" spans="2:39" ht="21.75" customHeight="1" outlineLevel="3">
      <c r="B85" s="296" t="s">
        <v>392</v>
      </c>
      <c r="C85" s="299" t="s">
        <v>393</v>
      </c>
      <c r="D85" s="305" t="s">
        <v>394</v>
      </c>
      <c r="E85" s="192">
        <f>0</f>
        <v>0</v>
      </c>
      <c r="F85" s="193">
        <f>4448018.24</f>
        <v>4448018.24</v>
      </c>
      <c r="G85" s="193">
        <f>703037</f>
        <v>703037</v>
      </c>
      <c r="H85" s="194">
        <f>678937.66</f>
        <v>678937.66</v>
      </c>
      <c r="I85" s="195">
        <f>379709</f>
        <v>379709</v>
      </c>
      <c r="J85" s="196">
        <f>328421</f>
        <v>328421</v>
      </c>
      <c r="K85" s="196">
        <f>123000</f>
        <v>123000</v>
      </c>
      <c r="L85" s="196">
        <f>351000</f>
        <v>351000</v>
      </c>
      <c r="M85" s="196">
        <f>897500</f>
        <v>897500</v>
      </c>
      <c r="N85" s="196">
        <f>1183800</f>
        <v>1183800</v>
      </c>
      <c r="O85" s="196">
        <f>920000</f>
        <v>920000</v>
      </c>
      <c r="P85" s="196">
        <f>2380000</f>
        <v>2380000</v>
      </c>
      <c r="Q85" s="196">
        <f>4030000</f>
        <v>4030000</v>
      </c>
      <c r="R85" s="196">
        <f>4570000</f>
        <v>4570000</v>
      </c>
      <c r="S85" s="196">
        <f>0</f>
        <v>0</v>
      </c>
      <c r="T85" s="196">
        <f>0</f>
        <v>0</v>
      </c>
      <c r="U85" s="196">
        <f>0</f>
        <v>0</v>
      </c>
      <c r="V85" s="196">
        <f>0</f>
        <v>0</v>
      </c>
      <c r="W85" s="196">
        <f>0</f>
        <v>0</v>
      </c>
      <c r="X85" s="196">
        <f>0</f>
        <v>0</v>
      </c>
      <c r="Y85" s="196">
        <f>0</f>
        <v>0</v>
      </c>
      <c r="Z85" s="196">
        <f>0</f>
        <v>0</v>
      </c>
      <c r="AA85" s="196">
        <f>0</f>
        <v>0</v>
      </c>
      <c r="AB85" s="196">
        <f>0</f>
        <v>0</v>
      </c>
      <c r="AC85" s="196">
        <f>0</f>
        <v>0</v>
      </c>
      <c r="AD85" s="196">
        <f>0</f>
        <v>0</v>
      </c>
      <c r="AE85" s="196">
        <f>0</f>
        <v>0</v>
      </c>
      <c r="AF85" s="196">
        <f>0</f>
        <v>0</v>
      </c>
      <c r="AG85" s="196">
        <f>0</f>
        <v>0</v>
      </c>
      <c r="AH85" s="196">
        <f>0</f>
        <v>0</v>
      </c>
      <c r="AI85" s="196">
        <f>0</f>
        <v>0</v>
      </c>
      <c r="AJ85" s="196">
        <f>0</f>
        <v>0</v>
      </c>
      <c r="AK85" s="196">
        <f>0</f>
        <v>0</v>
      </c>
      <c r="AL85" s="197">
        <f>0</f>
        <v>0</v>
      </c>
    </row>
    <row r="86" spans="2:39" ht="36.75" customHeight="1" outlineLevel="3">
      <c r="B86" s="296" t="s">
        <v>395</v>
      </c>
      <c r="C86" s="299" t="s">
        <v>396</v>
      </c>
      <c r="D86" s="300" t="s">
        <v>397</v>
      </c>
      <c r="E86" s="192">
        <f>0</f>
        <v>0</v>
      </c>
      <c r="F86" s="193">
        <f>0</f>
        <v>0</v>
      </c>
      <c r="G86" s="193">
        <f>0</f>
        <v>0</v>
      </c>
      <c r="H86" s="194">
        <f>0</f>
        <v>0</v>
      </c>
      <c r="I86" s="195">
        <f>0</f>
        <v>0</v>
      </c>
      <c r="J86" s="196">
        <f>0</f>
        <v>0</v>
      </c>
      <c r="K86" s="196">
        <f>0</f>
        <v>0</v>
      </c>
      <c r="L86" s="196">
        <f>0</f>
        <v>0</v>
      </c>
      <c r="M86" s="196">
        <f>0</f>
        <v>0</v>
      </c>
      <c r="N86" s="196">
        <f>0</f>
        <v>0</v>
      </c>
      <c r="O86" s="196">
        <f>0</f>
        <v>0</v>
      </c>
      <c r="P86" s="196">
        <f>0</f>
        <v>0</v>
      </c>
      <c r="Q86" s="196">
        <f>0</f>
        <v>0</v>
      </c>
      <c r="R86" s="196">
        <f>0</f>
        <v>0</v>
      </c>
      <c r="S86" s="196">
        <f>0</f>
        <v>0</v>
      </c>
      <c r="T86" s="196">
        <f>0</f>
        <v>0</v>
      </c>
      <c r="U86" s="196">
        <f>0</f>
        <v>0</v>
      </c>
      <c r="V86" s="196">
        <f>0</f>
        <v>0</v>
      </c>
      <c r="W86" s="196">
        <f>0</f>
        <v>0</v>
      </c>
      <c r="X86" s="196">
        <f>0</f>
        <v>0</v>
      </c>
      <c r="Y86" s="196">
        <f>0</f>
        <v>0</v>
      </c>
      <c r="Z86" s="196">
        <f>0</f>
        <v>0</v>
      </c>
      <c r="AA86" s="196">
        <f>0</f>
        <v>0</v>
      </c>
      <c r="AB86" s="196">
        <f>0</f>
        <v>0</v>
      </c>
      <c r="AC86" s="196">
        <f>0</f>
        <v>0</v>
      </c>
      <c r="AD86" s="196">
        <f>0</f>
        <v>0</v>
      </c>
      <c r="AE86" s="196">
        <f>0</f>
        <v>0</v>
      </c>
      <c r="AF86" s="196">
        <f>0</f>
        <v>0</v>
      </c>
      <c r="AG86" s="196">
        <f>0</f>
        <v>0</v>
      </c>
      <c r="AH86" s="196">
        <f>0</f>
        <v>0</v>
      </c>
      <c r="AI86" s="196">
        <f>0</f>
        <v>0</v>
      </c>
      <c r="AJ86" s="196">
        <f>0</f>
        <v>0</v>
      </c>
      <c r="AK86" s="196">
        <f>0</f>
        <v>0</v>
      </c>
      <c r="AL86" s="197">
        <f>0</f>
        <v>0</v>
      </c>
    </row>
    <row r="87" spans="2:39" ht="40.5" customHeight="1" outlineLevel="2">
      <c r="B87" s="296" t="s">
        <v>398</v>
      </c>
      <c r="C87" s="299" t="s">
        <v>399</v>
      </c>
      <c r="D87" s="298" t="s">
        <v>400</v>
      </c>
      <c r="E87" s="192">
        <f>0</f>
        <v>0</v>
      </c>
      <c r="F87" s="193">
        <f>0</f>
        <v>0</v>
      </c>
      <c r="G87" s="193">
        <f>0</f>
        <v>0</v>
      </c>
      <c r="H87" s="194">
        <f>698466.53</f>
        <v>698466.53</v>
      </c>
      <c r="I87" s="195">
        <f>427486.37</f>
        <v>427486.37</v>
      </c>
      <c r="J87" s="196">
        <f>0</f>
        <v>0</v>
      </c>
      <c r="K87" s="196">
        <f>0</f>
        <v>0</v>
      </c>
      <c r="L87" s="196">
        <f>0</f>
        <v>0</v>
      </c>
      <c r="M87" s="196">
        <f>0</f>
        <v>0</v>
      </c>
      <c r="N87" s="196">
        <f>0</f>
        <v>0</v>
      </c>
      <c r="O87" s="196">
        <f>0</f>
        <v>0</v>
      </c>
      <c r="P87" s="196">
        <f>0</f>
        <v>0</v>
      </c>
      <c r="Q87" s="196">
        <f>0</f>
        <v>0</v>
      </c>
      <c r="R87" s="196">
        <f>0</f>
        <v>0</v>
      </c>
      <c r="S87" s="196">
        <f>0</f>
        <v>0</v>
      </c>
      <c r="T87" s="196">
        <f>0</f>
        <v>0</v>
      </c>
      <c r="U87" s="196">
        <f>0</f>
        <v>0</v>
      </c>
      <c r="V87" s="196">
        <f>0</f>
        <v>0</v>
      </c>
      <c r="W87" s="196">
        <f>0</f>
        <v>0</v>
      </c>
      <c r="X87" s="196">
        <f>0</f>
        <v>0</v>
      </c>
      <c r="Y87" s="196">
        <f>0</f>
        <v>0</v>
      </c>
      <c r="Z87" s="196">
        <f>0</f>
        <v>0</v>
      </c>
      <c r="AA87" s="196">
        <f>0</f>
        <v>0</v>
      </c>
      <c r="AB87" s="196">
        <f>0</f>
        <v>0</v>
      </c>
      <c r="AC87" s="196">
        <f>0</f>
        <v>0</v>
      </c>
      <c r="AD87" s="196">
        <f>0</f>
        <v>0</v>
      </c>
      <c r="AE87" s="196">
        <f>0</f>
        <v>0</v>
      </c>
      <c r="AF87" s="196">
        <f>0</f>
        <v>0</v>
      </c>
      <c r="AG87" s="196">
        <f>0</f>
        <v>0</v>
      </c>
      <c r="AH87" s="196">
        <f>0</f>
        <v>0</v>
      </c>
      <c r="AI87" s="196">
        <f>0</f>
        <v>0</v>
      </c>
      <c r="AJ87" s="196">
        <f>0</f>
        <v>0</v>
      </c>
      <c r="AK87" s="196">
        <f>0</f>
        <v>0</v>
      </c>
      <c r="AL87" s="197">
        <f>0</f>
        <v>0</v>
      </c>
    </row>
    <row r="88" spans="2:39" ht="22.5" customHeight="1" outlineLevel="3">
      <c r="B88" s="296" t="s">
        <v>401</v>
      </c>
      <c r="C88" s="299" t="s">
        <v>402</v>
      </c>
      <c r="D88" s="300" t="s">
        <v>403</v>
      </c>
      <c r="E88" s="192">
        <f>0</f>
        <v>0</v>
      </c>
      <c r="F88" s="193">
        <f>0</f>
        <v>0</v>
      </c>
      <c r="G88" s="193">
        <f>0</f>
        <v>0</v>
      </c>
      <c r="H88" s="194">
        <f>0</f>
        <v>0</v>
      </c>
      <c r="I88" s="195">
        <f>0</f>
        <v>0</v>
      </c>
      <c r="J88" s="196">
        <f>0</f>
        <v>0</v>
      </c>
      <c r="K88" s="196">
        <f>0</f>
        <v>0</v>
      </c>
      <c r="L88" s="196">
        <f>0</f>
        <v>0</v>
      </c>
      <c r="M88" s="196">
        <f>0</f>
        <v>0</v>
      </c>
      <c r="N88" s="196">
        <f>0</f>
        <v>0</v>
      </c>
      <c r="O88" s="196">
        <f>0</f>
        <v>0</v>
      </c>
      <c r="P88" s="196">
        <f>0</f>
        <v>0</v>
      </c>
      <c r="Q88" s="196">
        <f>0</f>
        <v>0</v>
      </c>
      <c r="R88" s="196">
        <f>0</f>
        <v>0</v>
      </c>
      <c r="S88" s="196">
        <f>0</f>
        <v>0</v>
      </c>
      <c r="T88" s="196">
        <f>0</f>
        <v>0</v>
      </c>
      <c r="U88" s="196">
        <f>0</f>
        <v>0</v>
      </c>
      <c r="V88" s="196">
        <f>0</f>
        <v>0</v>
      </c>
      <c r="W88" s="196">
        <f>0</f>
        <v>0</v>
      </c>
      <c r="X88" s="196">
        <f>0</f>
        <v>0</v>
      </c>
      <c r="Y88" s="196">
        <f>0</f>
        <v>0</v>
      </c>
      <c r="Z88" s="196">
        <f>0</f>
        <v>0</v>
      </c>
      <c r="AA88" s="196">
        <f>0</f>
        <v>0</v>
      </c>
      <c r="AB88" s="196">
        <f>0</f>
        <v>0</v>
      </c>
      <c r="AC88" s="196">
        <f>0</f>
        <v>0</v>
      </c>
      <c r="AD88" s="196">
        <f>0</f>
        <v>0</v>
      </c>
      <c r="AE88" s="196">
        <f>0</f>
        <v>0</v>
      </c>
      <c r="AF88" s="196">
        <f>0</f>
        <v>0</v>
      </c>
      <c r="AG88" s="196">
        <f>0</f>
        <v>0</v>
      </c>
      <c r="AH88" s="196">
        <f>0</f>
        <v>0</v>
      </c>
      <c r="AI88" s="196">
        <f>0</f>
        <v>0</v>
      </c>
      <c r="AJ88" s="196">
        <f>0</f>
        <v>0</v>
      </c>
      <c r="AK88" s="196">
        <f>0</f>
        <v>0</v>
      </c>
      <c r="AL88" s="197">
        <f>0</f>
        <v>0</v>
      </c>
    </row>
    <row r="89" spans="2:39" ht="36" customHeight="1" outlineLevel="2">
      <c r="B89" s="296" t="s">
        <v>404</v>
      </c>
      <c r="C89" s="299" t="s">
        <v>405</v>
      </c>
      <c r="D89" s="298" t="s">
        <v>406</v>
      </c>
      <c r="E89" s="192">
        <f>0</f>
        <v>0</v>
      </c>
      <c r="F89" s="193">
        <f>0</f>
        <v>0</v>
      </c>
      <c r="G89" s="193">
        <f>0</f>
        <v>0</v>
      </c>
      <c r="H89" s="194">
        <f>0</f>
        <v>0</v>
      </c>
      <c r="I89" s="195">
        <f>0</f>
        <v>0</v>
      </c>
      <c r="J89" s="196">
        <f>0</f>
        <v>0</v>
      </c>
      <c r="K89" s="196">
        <f>0</f>
        <v>0</v>
      </c>
      <c r="L89" s="196">
        <f>0</f>
        <v>0</v>
      </c>
      <c r="M89" s="196">
        <f>0</f>
        <v>0</v>
      </c>
      <c r="N89" s="196">
        <f>0</f>
        <v>0</v>
      </c>
      <c r="O89" s="196">
        <f>0</f>
        <v>0</v>
      </c>
      <c r="P89" s="196">
        <f>0</f>
        <v>0</v>
      </c>
      <c r="Q89" s="196">
        <f>0</f>
        <v>0</v>
      </c>
      <c r="R89" s="196">
        <f>0</f>
        <v>0</v>
      </c>
      <c r="S89" s="196">
        <f>0</f>
        <v>0</v>
      </c>
      <c r="T89" s="196">
        <f>0</f>
        <v>0</v>
      </c>
      <c r="U89" s="196">
        <f>0</f>
        <v>0</v>
      </c>
      <c r="V89" s="196">
        <f>0</f>
        <v>0</v>
      </c>
      <c r="W89" s="196">
        <f>0</f>
        <v>0</v>
      </c>
      <c r="X89" s="196">
        <f>0</f>
        <v>0</v>
      </c>
      <c r="Y89" s="196">
        <f>0</f>
        <v>0</v>
      </c>
      <c r="Z89" s="196">
        <f>0</f>
        <v>0</v>
      </c>
      <c r="AA89" s="196">
        <f>0</f>
        <v>0</v>
      </c>
      <c r="AB89" s="196">
        <f>0</f>
        <v>0</v>
      </c>
      <c r="AC89" s="196">
        <f>0</f>
        <v>0</v>
      </c>
      <c r="AD89" s="196">
        <f>0</f>
        <v>0</v>
      </c>
      <c r="AE89" s="196">
        <f>0</f>
        <v>0</v>
      </c>
      <c r="AF89" s="196">
        <f>0</f>
        <v>0</v>
      </c>
      <c r="AG89" s="196">
        <f>0</f>
        <v>0</v>
      </c>
      <c r="AH89" s="196">
        <f>0</f>
        <v>0</v>
      </c>
      <c r="AI89" s="196">
        <f>0</f>
        <v>0</v>
      </c>
      <c r="AJ89" s="196">
        <f>0</f>
        <v>0</v>
      </c>
      <c r="AK89" s="196">
        <f>0</f>
        <v>0</v>
      </c>
      <c r="AL89" s="197">
        <f>0</f>
        <v>0</v>
      </c>
    </row>
    <row r="90" spans="2:39" ht="24.75" customHeight="1" outlineLevel="3">
      <c r="B90" s="296" t="s">
        <v>407</v>
      </c>
      <c r="C90" s="299" t="s">
        <v>402</v>
      </c>
      <c r="D90" s="300" t="s">
        <v>403</v>
      </c>
      <c r="E90" s="192">
        <f>0</f>
        <v>0</v>
      </c>
      <c r="F90" s="193">
        <f>0</f>
        <v>0</v>
      </c>
      <c r="G90" s="193">
        <f>0</f>
        <v>0</v>
      </c>
      <c r="H90" s="194">
        <f>0</f>
        <v>0</v>
      </c>
      <c r="I90" s="195">
        <f>0</f>
        <v>0</v>
      </c>
      <c r="J90" s="196">
        <f>0</f>
        <v>0</v>
      </c>
      <c r="K90" s="196">
        <f>0</f>
        <v>0</v>
      </c>
      <c r="L90" s="196">
        <f>0</f>
        <v>0</v>
      </c>
      <c r="M90" s="196">
        <f>0</f>
        <v>0</v>
      </c>
      <c r="N90" s="196">
        <f>0</f>
        <v>0</v>
      </c>
      <c r="O90" s="196">
        <f>0</f>
        <v>0</v>
      </c>
      <c r="P90" s="196">
        <f>0</f>
        <v>0</v>
      </c>
      <c r="Q90" s="196">
        <f>0</f>
        <v>0</v>
      </c>
      <c r="R90" s="196">
        <f>0</f>
        <v>0</v>
      </c>
      <c r="S90" s="196">
        <f>0</f>
        <v>0</v>
      </c>
      <c r="T90" s="196">
        <f>0</f>
        <v>0</v>
      </c>
      <c r="U90" s="196">
        <f>0</f>
        <v>0</v>
      </c>
      <c r="V90" s="196">
        <f>0</f>
        <v>0</v>
      </c>
      <c r="W90" s="196">
        <f>0</f>
        <v>0</v>
      </c>
      <c r="X90" s="196">
        <f>0</f>
        <v>0</v>
      </c>
      <c r="Y90" s="196">
        <f>0</f>
        <v>0</v>
      </c>
      <c r="Z90" s="196">
        <f>0</f>
        <v>0</v>
      </c>
      <c r="AA90" s="196">
        <f>0</f>
        <v>0</v>
      </c>
      <c r="AB90" s="196">
        <f>0</f>
        <v>0</v>
      </c>
      <c r="AC90" s="196">
        <f>0</f>
        <v>0</v>
      </c>
      <c r="AD90" s="196">
        <f>0</f>
        <v>0</v>
      </c>
      <c r="AE90" s="196">
        <f>0</f>
        <v>0</v>
      </c>
      <c r="AF90" s="196">
        <f>0</f>
        <v>0</v>
      </c>
      <c r="AG90" s="196">
        <f>0</f>
        <v>0</v>
      </c>
      <c r="AH90" s="196">
        <f>0</f>
        <v>0</v>
      </c>
      <c r="AI90" s="196">
        <f>0</f>
        <v>0</v>
      </c>
      <c r="AJ90" s="196">
        <f>0</f>
        <v>0</v>
      </c>
      <c r="AK90" s="196">
        <f>0</f>
        <v>0</v>
      </c>
      <c r="AL90" s="197">
        <f>0</f>
        <v>0</v>
      </c>
    </row>
    <row r="91" spans="2:39" ht="50.25" customHeight="1" outlineLevel="2">
      <c r="B91" s="296" t="s">
        <v>408</v>
      </c>
      <c r="C91" s="299" t="s">
        <v>409</v>
      </c>
      <c r="D91" s="298" t="s">
        <v>410</v>
      </c>
      <c r="E91" s="192">
        <f>0</f>
        <v>0</v>
      </c>
      <c r="F91" s="193">
        <f>0</f>
        <v>0</v>
      </c>
      <c r="G91" s="193">
        <f>0</f>
        <v>0</v>
      </c>
      <c r="H91" s="194">
        <f>2</f>
        <v>2</v>
      </c>
      <c r="I91" s="195">
        <f>0</f>
        <v>0</v>
      </c>
      <c r="J91" s="196">
        <f>0</f>
        <v>0</v>
      </c>
      <c r="K91" s="196">
        <f>0</f>
        <v>0</v>
      </c>
      <c r="L91" s="196">
        <f>0</f>
        <v>0</v>
      </c>
      <c r="M91" s="196">
        <f>0</f>
        <v>0</v>
      </c>
      <c r="N91" s="196">
        <f>0</f>
        <v>0</v>
      </c>
      <c r="O91" s="196">
        <f>0</f>
        <v>0</v>
      </c>
      <c r="P91" s="196">
        <f>0</f>
        <v>0</v>
      </c>
      <c r="Q91" s="196">
        <f>0</f>
        <v>0</v>
      </c>
      <c r="R91" s="196">
        <f>0</f>
        <v>0</v>
      </c>
      <c r="S91" s="196">
        <f>0</f>
        <v>0</v>
      </c>
      <c r="T91" s="196">
        <f>0</f>
        <v>0</v>
      </c>
      <c r="U91" s="196">
        <f>0</f>
        <v>0</v>
      </c>
      <c r="V91" s="196">
        <f>0</f>
        <v>0</v>
      </c>
      <c r="W91" s="196">
        <f>0</f>
        <v>0</v>
      </c>
      <c r="X91" s="196">
        <f>0</f>
        <v>0</v>
      </c>
      <c r="Y91" s="196">
        <f>0</f>
        <v>0</v>
      </c>
      <c r="Z91" s="196">
        <f>0</f>
        <v>0</v>
      </c>
      <c r="AA91" s="196">
        <f>0</f>
        <v>0</v>
      </c>
      <c r="AB91" s="196">
        <f>0</f>
        <v>0</v>
      </c>
      <c r="AC91" s="196">
        <f>0</f>
        <v>0</v>
      </c>
      <c r="AD91" s="196">
        <f>0</f>
        <v>0</v>
      </c>
      <c r="AE91" s="196">
        <f>0</f>
        <v>0</v>
      </c>
      <c r="AF91" s="196">
        <f>0</f>
        <v>0</v>
      </c>
      <c r="AG91" s="196">
        <f>0</f>
        <v>0</v>
      </c>
      <c r="AH91" s="196">
        <f>0</f>
        <v>0</v>
      </c>
      <c r="AI91" s="196">
        <f>0</f>
        <v>0</v>
      </c>
      <c r="AJ91" s="196">
        <f>0</f>
        <v>0</v>
      </c>
      <c r="AK91" s="196">
        <f>0</f>
        <v>0</v>
      </c>
      <c r="AL91" s="197">
        <f>0</f>
        <v>0</v>
      </c>
    </row>
    <row r="92" spans="2:39" ht="24.75" customHeight="1" outlineLevel="3">
      <c r="B92" s="296" t="s">
        <v>411</v>
      </c>
      <c r="C92" s="299" t="s">
        <v>402</v>
      </c>
      <c r="D92" s="300" t="s">
        <v>403</v>
      </c>
      <c r="E92" s="192">
        <f>0</f>
        <v>0</v>
      </c>
      <c r="F92" s="193">
        <f>0</f>
        <v>0</v>
      </c>
      <c r="G92" s="193">
        <f>0</f>
        <v>0</v>
      </c>
      <c r="H92" s="194">
        <f>0</f>
        <v>0</v>
      </c>
      <c r="I92" s="195">
        <f>0</f>
        <v>0</v>
      </c>
      <c r="J92" s="196">
        <f>0</f>
        <v>0</v>
      </c>
      <c r="K92" s="196">
        <f>0</f>
        <v>0</v>
      </c>
      <c r="L92" s="196">
        <f>0</f>
        <v>0</v>
      </c>
      <c r="M92" s="196">
        <f>0</f>
        <v>0</v>
      </c>
      <c r="N92" s="196">
        <f>0</f>
        <v>0</v>
      </c>
      <c r="O92" s="196">
        <f>0</f>
        <v>0</v>
      </c>
      <c r="P92" s="196">
        <f>0</f>
        <v>0</v>
      </c>
      <c r="Q92" s="196">
        <f>0</f>
        <v>0</v>
      </c>
      <c r="R92" s="196">
        <f>0</f>
        <v>0</v>
      </c>
      <c r="S92" s="196">
        <f>0</f>
        <v>0</v>
      </c>
      <c r="T92" s="196">
        <f>0</f>
        <v>0</v>
      </c>
      <c r="U92" s="196">
        <f>0</f>
        <v>0</v>
      </c>
      <c r="V92" s="196">
        <f>0</f>
        <v>0</v>
      </c>
      <c r="W92" s="196">
        <f>0</f>
        <v>0</v>
      </c>
      <c r="X92" s="196">
        <f>0</f>
        <v>0</v>
      </c>
      <c r="Y92" s="196">
        <f>0</f>
        <v>0</v>
      </c>
      <c r="Z92" s="196">
        <f>0</f>
        <v>0</v>
      </c>
      <c r="AA92" s="196">
        <f>0</f>
        <v>0</v>
      </c>
      <c r="AB92" s="196">
        <f>0</f>
        <v>0</v>
      </c>
      <c r="AC92" s="196">
        <f>0</f>
        <v>0</v>
      </c>
      <c r="AD92" s="196">
        <f>0</f>
        <v>0</v>
      </c>
      <c r="AE92" s="196">
        <f>0</f>
        <v>0</v>
      </c>
      <c r="AF92" s="196">
        <f>0</f>
        <v>0</v>
      </c>
      <c r="AG92" s="196">
        <f>0</f>
        <v>0</v>
      </c>
      <c r="AH92" s="196">
        <f>0</f>
        <v>0</v>
      </c>
      <c r="AI92" s="196">
        <f>0</f>
        <v>0</v>
      </c>
      <c r="AJ92" s="196">
        <f>0</f>
        <v>0</v>
      </c>
      <c r="AK92" s="196">
        <f>0</f>
        <v>0</v>
      </c>
      <c r="AL92" s="197">
        <f>0</f>
        <v>0</v>
      </c>
    </row>
    <row r="93" spans="2:39" ht="49.5" customHeight="1" outlineLevel="2">
      <c r="B93" s="296" t="s">
        <v>412</v>
      </c>
      <c r="C93" s="299" t="s">
        <v>413</v>
      </c>
      <c r="D93" s="298" t="s">
        <v>414</v>
      </c>
      <c r="E93" s="192">
        <f>0</f>
        <v>0</v>
      </c>
      <c r="F93" s="193">
        <f>0</f>
        <v>0</v>
      </c>
      <c r="G93" s="193">
        <f>0</f>
        <v>0</v>
      </c>
      <c r="H93" s="194">
        <f>0</f>
        <v>0</v>
      </c>
      <c r="I93" s="195">
        <f>0</f>
        <v>0</v>
      </c>
      <c r="J93" s="196">
        <f>0</f>
        <v>0</v>
      </c>
      <c r="K93" s="196">
        <f>0</f>
        <v>0</v>
      </c>
      <c r="L93" s="196">
        <f>0</f>
        <v>0</v>
      </c>
      <c r="M93" s="196">
        <f>0</f>
        <v>0</v>
      </c>
      <c r="N93" s="196">
        <f>0</f>
        <v>0</v>
      </c>
      <c r="O93" s="196">
        <f>0</f>
        <v>0</v>
      </c>
      <c r="P93" s="196">
        <f>0</f>
        <v>0</v>
      </c>
      <c r="Q93" s="196">
        <f>0</f>
        <v>0</v>
      </c>
      <c r="R93" s="196">
        <f>0</f>
        <v>0</v>
      </c>
      <c r="S93" s="196">
        <f>0</f>
        <v>0</v>
      </c>
      <c r="T93" s="196">
        <f>0</f>
        <v>0</v>
      </c>
      <c r="U93" s="196">
        <f>0</f>
        <v>0</v>
      </c>
      <c r="V93" s="196">
        <f>0</f>
        <v>0</v>
      </c>
      <c r="W93" s="196">
        <f>0</f>
        <v>0</v>
      </c>
      <c r="X93" s="196">
        <f>0</f>
        <v>0</v>
      </c>
      <c r="Y93" s="196">
        <f>0</f>
        <v>0</v>
      </c>
      <c r="Z93" s="196">
        <f>0</f>
        <v>0</v>
      </c>
      <c r="AA93" s="196">
        <f>0</f>
        <v>0</v>
      </c>
      <c r="AB93" s="196">
        <f>0</f>
        <v>0</v>
      </c>
      <c r="AC93" s="196">
        <f>0</f>
        <v>0</v>
      </c>
      <c r="AD93" s="196">
        <f>0</f>
        <v>0</v>
      </c>
      <c r="AE93" s="196">
        <f>0</f>
        <v>0</v>
      </c>
      <c r="AF93" s="196">
        <f>0</f>
        <v>0</v>
      </c>
      <c r="AG93" s="196">
        <f>0</f>
        <v>0</v>
      </c>
      <c r="AH93" s="196">
        <f>0</f>
        <v>0</v>
      </c>
      <c r="AI93" s="196">
        <f>0</f>
        <v>0</v>
      </c>
      <c r="AJ93" s="196">
        <f>0</f>
        <v>0</v>
      </c>
      <c r="AK93" s="196">
        <f>0</f>
        <v>0</v>
      </c>
      <c r="AL93" s="197">
        <f>0</f>
        <v>0</v>
      </c>
    </row>
    <row r="94" spans="2:39" ht="29.25" customHeight="1" outlineLevel="3">
      <c r="B94" s="296" t="s">
        <v>415</v>
      </c>
      <c r="C94" s="299" t="s">
        <v>402</v>
      </c>
      <c r="D94" s="300" t="s">
        <v>403</v>
      </c>
      <c r="E94" s="192">
        <f>0</f>
        <v>0</v>
      </c>
      <c r="F94" s="193">
        <f>0</f>
        <v>0</v>
      </c>
      <c r="G94" s="193">
        <f>0</f>
        <v>0</v>
      </c>
      <c r="H94" s="194">
        <f>0</f>
        <v>0</v>
      </c>
      <c r="I94" s="195">
        <f>0</f>
        <v>0</v>
      </c>
      <c r="J94" s="196">
        <f>0</f>
        <v>0</v>
      </c>
      <c r="K94" s="196">
        <f>0</f>
        <v>0</v>
      </c>
      <c r="L94" s="196">
        <f>0</f>
        <v>0</v>
      </c>
      <c r="M94" s="196">
        <f>0</f>
        <v>0</v>
      </c>
      <c r="N94" s="196">
        <f>0</f>
        <v>0</v>
      </c>
      <c r="O94" s="196">
        <f>0</f>
        <v>0</v>
      </c>
      <c r="P94" s="196">
        <f>0</f>
        <v>0</v>
      </c>
      <c r="Q94" s="196">
        <f>0</f>
        <v>0</v>
      </c>
      <c r="R94" s="196">
        <f>0</f>
        <v>0</v>
      </c>
      <c r="S94" s="196">
        <f>0</f>
        <v>0</v>
      </c>
      <c r="T94" s="196">
        <f>0</f>
        <v>0</v>
      </c>
      <c r="U94" s="196">
        <f>0</f>
        <v>0</v>
      </c>
      <c r="V94" s="196">
        <f>0</f>
        <v>0</v>
      </c>
      <c r="W94" s="196">
        <f>0</f>
        <v>0</v>
      </c>
      <c r="X94" s="196">
        <f>0</f>
        <v>0</v>
      </c>
      <c r="Y94" s="196">
        <f>0</f>
        <v>0</v>
      </c>
      <c r="Z94" s="196">
        <f>0</f>
        <v>0</v>
      </c>
      <c r="AA94" s="196">
        <f>0</f>
        <v>0</v>
      </c>
      <c r="AB94" s="196">
        <f>0</f>
        <v>0</v>
      </c>
      <c r="AC94" s="196">
        <f>0</f>
        <v>0</v>
      </c>
      <c r="AD94" s="196">
        <f>0</f>
        <v>0</v>
      </c>
      <c r="AE94" s="196">
        <f>0</f>
        <v>0</v>
      </c>
      <c r="AF94" s="196">
        <f>0</f>
        <v>0</v>
      </c>
      <c r="AG94" s="196">
        <f>0</f>
        <v>0</v>
      </c>
      <c r="AH94" s="196">
        <f>0</f>
        <v>0</v>
      </c>
      <c r="AI94" s="196">
        <f>0</f>
        <v>0</v>
      </c>
      <c r="AJ94" s="196">
        <f>0</f>
        <v>0</v>
      </c>
      <c r="AK94" s="196">
        <f>0</f>
        <v>0</v>
      </c>
      <c r="AL94" s="197">
        <f>0</f>
        <v>0</v>
      </c>
    </row>
    <row r="95" spans="2:39" ht="24" outlineLevel="1" collapsed="1">
      <c r="B95" s="292">
        <v>13</v>
      </c>
      <c r="C95" s="293" t="s">
        <v>416</v>
      </c>
      <c r="D95" s="307" t="s">
        <v>416</v>
      </c>
      <c r="E95" s="198" t="s">
        <v>204</v>
      </c>
      <c r="F95" s="199" t="s">
        <v>204</v>
      </c>
      <c r="G95" s="199" t="s">
        <v>204</v>
      </c>
      <c r="H95" s="200" t="s">
        <v>204</v>
      </c>
      <c r="I95" s="201" t="s">
        <v>204</v>
      </c>
      <c r="J95" s="202" t="s">
        <v>204</v>
      </c>
      <c r="K95" s="202" t="s">
        <v>204</v>
      </c>
      <c r="L95" s="202" t="s">
        <v>204</v>
      </c>
      <c r="M95" s="202" t="s">
        <v>204</v>
      </c>
      <c r="N95" s="202" t="s">
        <v>204</v>
      </c>
      <c r="O95" s="202" t="s">
        <v>204</v>
      </c>
      <c r="P95" s="202" t="s">
        <v>204</v>
      </c>
      <c r="Q95" s="202" t="s">
        <v>204</v>
      </c>
      <c r="R95" s="202" t="s">
        <v>204</v>
      </c>
      <c r="S95" s="202" t="s">
        <v>204</v>
      </c>
      <c r="T95" s="202" t="s">
        <v>204</v>
      </c>
      <c r="U95" s="202" t="s">
        <v>204</v>
      </c>
      <c r="V95" s="202" t="s">
        <v>204</v>
      </c>
      <c r="W95" s="202" t="s">
        <v>204</v>
      </c>
      <c r="X95" s="202" t="s">
        <v>204</v>
      </c>
      <c r="Y95" s="202" t="s">
        <v>204</v>
      </c>
      <c r="Z95" s="202" t="s">
        <v>204</v>
      </c>
      <c r="AA95" s="202" t="s">
        <v>204</v>
      </c>
      <c r="AB95" s="202" t="s">
        <v>204</v>
      </c>
      <c r="AC95" s="202" t="s">
        <v>204</v>
      </c>
      <c r="AD95" s="202" t="s">
        <v>204</v>
      </c>
      <c r="AE95" s="202" t="s">
        <v>204</v>
      </c>
      <c r="AF95" s="202" t="s">
        <v>204</v>
      </c>
      <c r="AG95" s="202" t="s">
        <v>204</v>
      </c>
      <c r="AH95" s="202" t="s">
        <v>204</v>
      </c>
      <c r="AI95" s="202" t="s">
        <v>204</v>
      </c>
      <c r="AJ95" s="202" t="s">
        <v>204</v>
      </c>
      <c r="AK95" s="202" t="s">
        <v>204</v>
      </c>
      <c r="AL95" s="203" t="s">
        <v>204</v>
      </c>
      <c r="AM95" s="295"/>
    </row>
    <row r="96" spans="2:39" ht="36" hidden="1" outlineLevel="2">
      <c r="B96" s="296" t="s">
        <v>417</v>
      </c>
      <c r="C96" s="299" t="s">
        <v>418</v>
      </c>
      <c r="D96" s="298" t="s">
        <v>419</v>
      </c>
      <c r="E96" s="192">
        <f>0</f>
        <v>0</v>
      </c>
      <c r="F96" s="193">
        <f>0</f>
        <v>0</v>
      </c>
      <c r="G96" s="193">
        <f>0</f>
        <v>0</v>
      </c>
      <c r="H96" s="194">
        <f>0</f>
        <v>0</v>
      </c>
      <c r="I96" s="195">
        <f>0</f>
        <v>0</v>
      </c>
      <c r="J96" s="196">
        <f>0</f>
        <v>0</v>
      </c>
      <c r="K96" s="196">
        <f>0</f>
        <v>0</v>
      </c>
      <c r="L96" s="196">
        <f>0</f>
        <v>0</v>
      </c>
      <c r="M96" s="196">
        <f>0</f>
        <v>0</v>
      </c>
      <c r="N96" s="196">
        <f>0</f>
        <v>0</v>
      </c>
      <c r="O96" s="196">
        <f>0</f>
        <v>0</v>
      </c>
      <c r="P96" s="196">
        <f>0</f>
        <v>0</v>
      </c>
      <c r="Q96" s="196">
        <f>0</f>
        <v>0</v>
      </c>
      <c r="R96" s="196">
        <f>0</f>
        <v>0</v>
      </c>
      <c r="S96" s="196">
        <f>0</f>
        <v>0</v>
      </c>
      <c r="T96" s="196">
        <f>0</f>
        <v>0</v>
      </c>
      <c r="U96" s="196">
        <f>0</f>
        <v>0</v>
      </c>
      <c r="V96" s="196">
        <f>0</f>
        <v>0</v>
      </c>
      <c r="W96" s="196">
        <f>0</f>
        <v>0</v>
      </c>
      <c r="X96" s="196">
        <f>0</f>
        <v>0</v>
      </c>
      <c r="Y96" s="196">
        <f>0</f>
        <v>0</v>
      </c>
      <c r="Z96" s="196">
        <f>0</f>
        <v>0</v>
      </c>
      <c r="AA96" s="196">
        <f>0</f>
        <v>0</v>
      </c>
      <c r="AB96" s="196">
        <f>0</f>
        <v>0</v>
      </c>
      <c r="AC96" s="196">
        <f>0</f>
        <v>0</v>
      </c>
      <c r="AD96" s="196">
        <f>0</f>
        <v>0</v>
      </c>
      <c r="AE96" s="196">
        <f>0</f>
        <v>0</v>
      </c>
      <c r="AF96" s="196">
        <f>0</f>
        <v>0</v>
      </c>
      <c r="AG96" s="196">
        <f>0</f>
        <v>0</v>
      </c>
      <c r="AH96" s="196">
        <f>0</f>
        <v>0</v>
      </c>
      <c r="AI96" s="196">
        <f>0</f>
        <v>0</v>
      </c>
      <c r="AJ96" s="196">
        <f>0</f>
        <v>0</v>
      </c>
      <c r="AK96" s="196">
        <f>0</f>
        <v>0</v>
      </c>
      <c r="AL96" s="197">
        <f>0</f>
        <v>0</v>
      </c>
    </row>
    <row r="97" spans="1:39" ht="36" hidden="1" outlineLevel="2">
      <c r="B97" s="296" t="s">
        <v>420</v>
      </c>
      <c r="C97" s="299" t="s">
        <v>421</v>
      </c>
      <c r="D97" s="298" t="s">
        <v>422</v>
      </c>
      <c r="E97" s="192">
        <f>0</f>
        <v>0</v>
      </c>
      <c r="F97" s="193">
        <f>0</f>
        <v>0</v>
      </c>
      <c r="G97" s="193">
        <f>0</f>
        <v>0</v>
      </c>
      <c r="H97" s="194">
        <f>0</f>
        <v>0</v>
      </c>
      <c r="I97" s="195">
        <f>0</f>
        <v>0</v>
      </c>
      <c r="J97" s="196">
        <f>0</f>
        <v>0</v>
      </c>
      <c r="K97" s="196">
        <f>0</f>
        <v>0</v>
      </c>
      <c r="L97" s="196">
        <f>0</f>
        <v>0</v>
      </c>
      <c r="M97" s="196">
        <f>0</f>
        <v>0</v>
      </c>
      <c r="N97" s="196">
        <f>0</f>
        <v>0</v>
      </c>
      <c r="O97" s="196">
        <f>0</f>
        <v>0</v>
      </c>
      <c r="P97" s="196">
        <f>0</f>
        <v>0</v>
      </c>
      <c r="Q97" s="196">
        <f>0</f>
        <v>0</v>
      </c>
      <c r="R97" s="196">
        <f>0</f>
        <v>0</v>
      </c>
      <c r="S97" s="196">
        <f>0</f>
        <v>0</v>
      </c>
      <c r="T97" s="196">
        <f>0</f>
        <v>0</v>
      </c>
      <c r="U97" s="196">
        <f>0</f>
        <v>0</v>
      </c>
      <c r="V97" s="196">
        <f>0</f>
        <v>0</v>
      </c>
      <c r="W97" s="196">
        <f>0</f>
        <v>0</v>
      </c>
      <c r="X97" s="196">
        <f>0</f>
        <v>0</v>
      </c>
      <c r="Y97" s="196">
        <f>0</f>
        <v>0</v>
      </c>
      <c r="Z97" s="196">
        <f>0</f>
        <v>0</v>
      </c>
      <c r="AA97" s="196">
        <f>0</f>
        <v>0</v>
      </c>
      <c r="AB97" s="196">
        <f>0</f>
        <v>0</v>
      </c>
      <c r="AC97" s="196">
        <f>0</f>
        <v>0</v>
      </c>
      <c r="AD97" s="196">
        <f>0</f>
        <v>0</v>
      </c>
      <c r="AE97" s="196">
        <f>0</f>
        <v>0</v>
      </c>
      <c r="AF97" s="196">
        <f>0</f>
        <v>0</v>
      </c>
      <c r="AG97" s="196">
        <f>0</f>
        <v>0</v>
      </c>
      <c r="AH97" s="196">
        <f>0</f>
        <v>0</v>
      </c>
      <c r="AI97" s="196">
        <f>0</f>
        <v>0</v>
      </c>
      <c r="AJ97" s="196">
        <f>0</f>
        <v>0</v>
      </c>
      <c r="AK97" s="196">
        <f>0</f>
        <v>0</v>
      </c>
      <c r="AL97" s="197">
        <f>0</f>
        <v>0</v>
      </c>
    </row>
    <row r="98" spans="1:39" ht="24" hidden="1" outlineLevel="2">
      <c r="B98" s="296" t="s">
        <v>423</v>
      </c>
      <c r="C98" s="299" t="s">
        <v>424</v>
      </c>
      <c r="D98" s="298" t="s">
        <v>425</v>
      </c>
      <c r="E98" s="192">
        <f>0</f>
        <v>0</v>
      </c>
      <c r="F98" s="193">
        <f>0</f>
        <v>0</v>
      </c>
      <c r="G98" s="193">
        <f>0</f>
        <v>0</v>
      </c>
      <c r="H98" s="194">
        <f>0</f>
        <v>0</v>
      </c>
      <c r="I98" s="195">
        <f>0</f>
        <v>0</v>
      </c>
      <c r="J98" s="196">
        <f>0</f>
        <v>0</v>
      </c>
      <c r="K98" s="196">
        <f>0</f>
        <v>0</v>
      </c>
      <c r="L98" s="196">
        <f>0</f>
        <v>0</v>
      </c>
      <c r="M98" s="196">
        <f>0</f>
        <v>0</v>
      </c>
      <c r="N98" s="196">
        <f>0</f>
        <v>0</v>
      </c>
      <c r="O98" s="196">
        <f>0</f>
        <v>0</v>
      </c>
      <c r="P98" s="196">
        <f>0</f>
        <v>0</v>
      </c>
      <c r="Q98" s="196">
        <f>0</f>
        <v>0</v>
      </c>
      <c r="R98" s="196">
        <f>0</f>
        <v>0</v>
      </c>
      <c r="S98" s="196">
        <f>0</f>
        <v>0</v>
      </c>
      <c r="T98" s="196">
        <f>0</f>
        <v>0</v>
      </c>
      <c r="U98" s="196">
        <f>0</f>
        <v>0</v>
      </c>
      <c r="V98" s="196">
        <f>0</f>
        <v>0</v>
      </c>
      <c r="W98" s="196">
        <f>0</f>
        <v>0</v>
      </c>
      <c r="X98" s="196">
        <f>0</f>
        <v>0</v>
      </c>
      <c r="Y98" s="196">
        <f>0</f>
        <v>0</v>
      </c>
      <c r="Z98" s="196">
        <f>0</f>
        <v>0</v>
      </c>
      <c r="AA98" s="196">
        <f>0</f>
        <v>0</v>
      </c>
      <c r="AB98" s="196">
        <f>0</f>
        <v>0</v>
      </c>
      <c r="AC98" s="196">
        <f>0</f>
        <v>0</v>
      </c>
      <c r="AD98" s="196">
        <f>0</f>
        <v>0</v>
      </c>
      <c r="AE98" s="196">
        <f>0</f>
        <v>0</v>
      </c>
      <c r="AF98" s="196">
        <f>0</f>
        <v>0</v>
      </c>
      <c r="AG98" s="196">
        <f>0</f>
        <v>0</v>
      </c>
      <c r="AH98" s="196">
        <f>0</f>
        <v>0</v>
      </c>
      <c r="AI98" s="196">
        <f>0</f>
        <v>0</v>
      </c>
      <c r="AJ98" s="196">
        <f>0</f>
        <v>0</v>
      </c>
      <c r="AK98" s="196">
        <f>0</f>
        <v>0</v>
      </c>
      <c r="AL98" s="197">
        <f>0</f>
        <v>0</v>
      </c>
    </row>
    <row r="99" spans="1:39" ht="36" hidden="1" outlineLevel="2">
      <c r="B99" s="296" t="s">
        <v>426</v>
      </c>
      <c r="C99" s="299" t="s">
        <v>427</v>
      </c>
      <c r="D99" s="298" t="s">
        <v>428</v>
      </c>
      <c r="E99" s="192">
        <f>0</f>
        <v>0</v>
      </c>
      <c r="F99" s="193">
        <f>0</f>
        <v>0</v>
      </c>
      <c r="G99" s="193">
        <f>0</f>
        <v>0</v>
      </c>
      <c r="H99" s="194">
        <f>0</f>
        <v>0</v>
      </c>
      <c r="I99" s="195">
        <f>0</f>
        <v>0</v>
      </c>
      <c r="J99" s="196">
        <f>0</f>
        <v>0</v>
      </c>
      <c r="K99" s="196">
        <f>0</f>
        <v>0</v>
      </c>
      <c r="L99" s="196">
        <f>0</f>
        <v>0</v>
      </c>
      <c r="M99" s="196">
        <f>0</f>
        <v>0</v>
      </c>
      <c r="N99" s="196">
        <f>0</f>
        <v>0</v>
      </c>
      <c r="O99" s="196">
        <f>0</f>
        <v>0</v>
      </c>
      <c r="P99" s="196">
        <f>0</f>
        <v>0</v>
      </c>
      <c r="Q99" s="196">
        <f>0</f>
        <v>0</v>
      </c>
      <c r="R99" s="196">
        <f>0</f>
        <v>0</v>
      </c>
      <c r="S99" s="196">
        <f>0</f>
        <v>0</v>
      </c>
      <c r="T99" s="196">
        <f>0</f>
        <v>0</v>
      </c>
      <c r="U99" s="196">
        <f>0</f>
        <v>0</v>
      </c>
      <c r="V99" s="196">
        <f>0</f>
        <v>0</v>
      </c>
      <c r="W99" s="196">
        <f>0</f>
        <v>0</v>
      </c>
      <c r="X99" s="196">
        <f>0</f>
        <v>0</v>
      </c>
      <c r="Y99" s="196">
        <f>0</f>
        <v>0</v>
      </c>
      <c r="Z99" s="196">
        <f>0</f>
        <v>0</v>
      </c>
      <c r="AA99" s="196">
        <f>0</f>
        <v>0</v>
      </c>
      <c r="AB99" s="196">
        <f>0</f>
        <v>0</v>
      </c>
      <c r="AC99" s="196">
        <f>0</f>
        <v>0</v>
      </c>
      <c r="AD99" s="196">
        <f>0</f>
        <v>0</v>
      </c>
      <c r="AE99" s="196">
        <f>0</f>
        <v>0</v>
      </c>
      <c r="AF99" s="196">
        <f>0</f>
        <v>0</v>
      </c>
      <c r="AG99" s="196">
        <f>0</f>
        <v>0</v>
      </c>
      <c r="AH99" s="196">
        <f>0</f>
        <v>0</v>
      </c>
      <c r="AI99" s="196">
        <f>0</f>
        <v>0</v>
      </c>
      <c r="AJ99" s="196">
        <f>0</f>
        <v>0</v>
      </c>
      <c r="AK99" s="196">
        <f>0</f>
        <v>0</v>
      </c>
      <c r="AL99" s="197">
        <f>0</f>
        <v>0</v>
      </c>
    </row>
    <row r="100" spans="1:39" ht="36" hidden="1" outlineLevel="2">
      <c r="B100" s="296" t="s">
        <v>429</v>
      </c>
      <c r="C100" s="299" t="s">
        <v>430</v>
      </c>
      <c r="D100" s="298" t="s">
        <v>431</v>
      </c>
      <c r="E100" s="192">
        <f>0</f>
        <v>0</v>
      </c>
      <c r="F100" s="193">
        <f>0</f>
        <v>0</v>
      </c>
      <c r="G100" s="193">
        <f>0</f>
        <v>0</v>
      </c>
      <c r="H100" s="194">
        <f>0</f>
        <v>0</v>
      </c>
      <c r="I100" s="195">
        <f>0</f>
        <v>0</v>
      </c>
      <c r="J100" s="196">
        <f>0</f>
        <v>0</v>
      </c>
      <c r="K100" s="196">
        <f>0</f>
        <v>0</v>
      </c>
      <c r="L100" s="196">
        <f>0</f>
        <v>0</v>
      </c>
      <c r="M100" s="196">
        <f>0</f>
        <v>0</v>
      </c>
      <c r="N100" s="196">
        <f>0</f>
        <v>0</v>
      </c>
      <c r="O100" s="196">
        <f>0</f>
        <v>0</v>
      </c>
      <c r="P100" s="196">
        <f>0</f>
        <v>0</v>
      </c>
      <c r="Q100" s="196">
        <f>0</f>
        <v>0</v>
      </c>
      <c r="R100" s="196">
        <f>0</f>
        <v>0</v>
      </c>
      <c r="S100" s="196">
        <f>0</f>
        <v>0</v>
      </c>
      <c r="T100" s="196">
        <f>0</f>
        <v>0</v>
      </c>
      <c r="U100" s="196">
        <f>0</f>
        <v>0</v>
      </c>
      <c r="V100" s="196">
        <f>0</f>
        <v>0</v>
      </c>
      <c r="W100" s="196">
        <f>0</f>
        <v>0</v>
      </c>
      <c r="X100" s="196">
        <f>0</f>
        <v>0</v>
      </c>
      <c r="Y100" s="196">
        <f>0</f>
        <v>0</v>
      </c>
      <c r="Z100" s="196">
        <f>0</f>
        <v>0</v>
      </c>
      <c r="AA100" s="196">
        <f>0</f>
        <v>0</v>
      </c>
      <c r="AB100" s="196">
        <f>0</f>
        <v>0</v>
      </c>
      <c r="AC100" s="196">
        <f>0</f>
        <v>0</v>
      </c>
      <c r="AD100" s="196">
        <f>0</f>
        <v>0</v>
      </c>
      <c r="AE100" s="196">
        <f>0</f>
        <v>0</v>
      </c>
      <c r="AF100" s="196">
        <f>0</f>
        <v>0</v>
      </c>
      <c r="AG100" s="196">
        <f>0</f>
        <v>0</v>
      </c>
      <c r="AH100" s="196">
        <f>0</f>
        <v>0</v>
      </c>
      <c r="AI100" s="196">
        <f>0</f>
        <v>0</v>
      </c>
      <c r="AJ100" s="196">
        <f>0</f>
        <v>0</v>
      </c>
      <c r="AK100" s="196">
        <f>0</f>
        <v>0</v>
      </c>
      <c r="AL100" s="197">
        <f>0</f>
        <v>0</v>
      </c>
    </row>
    <row r="101" spans="1:39" ht="36" hidden="1" outlineLevel="2">
      <c r="B101" s="296" t="s">
        <v>432</v>
      </c>
      <c r="C101" s="299" t="s">
        <v>433</v>
      </c>
      <c r="D101" s="298" t="s">
        <v>434</v>
      </c>
      <c r="E101" s="192">
        <f>0</f>
        <v>0</v>
      </c>
      <c r="F101" s="193">
        <f>0</f>
        <v>0</v>
      </c>
      <c r="G101" s="193">
        <f>0</f>
        <v>0</v>
      </c>
      <c r="H101" s="194">
        <f>0</f>
        <v>0</v>
      </c>
      <c r="I101" s="195">
        <f>0</f>
        <v>0</v>
      </c>
      <c r="J101" s="196">
        <f>0</f>
        <v>0</v>
      </c>
      <c r="K101" s="196">
        <f>0</f>
        <v>0</v>
      </c>
      <c r="L101" s="196">
        <f>0</f>
        <v>0</v>
      </c>
      <c r="M101" s="196">
        <f>0</f>
        <v>0</v>
      </c>
      <c r="N101" s="196">
        <f>0</f>
        <v>0</v>
      </c>
      <c r="O101" s="196">
        <f>0</f>
        <v>0</v>
      </c>
      <c r="P101" s="196">
        <f>0</f>
        <v>0</v>
      </c>
      <c r="Q101" s="196">
        <f>0</f>
        <v>0</v>
      </c>
      <c r="R101" s="196">
        <f>0</f>
        <v>0</v>
      </c>
      <c r="S101" s="196">
        <f>0</f>
        <v>0</v>
      </c>
      <c r="T101" s="196">
        <f>0</f>
        <v>0</v>
      </c>
      <c r="U101" s="196">
        <f>0</f>
        <v>0</v>
      </c>
      <c r="V101" s="196">
        <f>0</f>
        <v>0</v>
      </c>
      <c r="W101" s="196">
        <f>0</f>
        <v>0</v>
      </c>
      <c r="X101" s="196">
        <f>0</f>
        <v>0</v>
      </c>
      <c r="Y101" s="196">
        <f>0</f>
        <v>0</v>
      </c>
      <c r="Z101" s="196">
        <f>0</f>
        <v>0</v>
      </c>
      <c r="AA101" s="196">
        <f>0</f>
        <v>0</v>
      </c>
      <c r="AB101" s="196">
        <f>0</f>
        <v>0</v>
      </c>
      <c r="AC101" s="196">
        <f>0</f>
        <v>0</v>
      </c>
      <c r="AD101" s="196">
        <f>0</f>
        <v>0</v>
      </c>
      <c r="AE101" s="196">
        <f>0</f>
        <v>0</v>
      </c>
      <c r="AF101" s="196">
        <f>0</f>
        <v>0</v>
      </c>
      <c r="AG101" s="196">
        <f>0</f>
        <v>0</v>
      </c>
      <c r="AH101" s="196">
        <f>0</f>
        <v>0</v>
      </c>
      <c r="AI101" s="196">
        <f>0</f>
        <v>0</v>
      </c>
      <c r="AJ101" s="196">
        <f>0</f>
        <v>0</v>
      </c>
      <c r="AK101" s="196">
        <f>0</f>
        <v>0</v>
      </c>
      <c r="AL101" s="197">
        <f>0</f>
        <v>0</v>
      </c>
    </row>
    <row r="102" spans="1:39" ht="24" hidden="1" outlineLevel="2">
      <c r="B102" s="296" t="s">
        <v>435</v>
      </c>
      <c r="C102" s="299" t="s">
        <v>436</v>
      </c>
      <c r="D102" s="298" t="s">
        <v>437</v>
      </c>
      <c r="E102" s="192">
        <f>0</f>
        <v>0</v>
      </c>
      <c r="F102" s="193">
        <f>0</f>
        <v>0</v>
      </c>
      <c r="G102" s="193">
        <f>0</f>
        <v>0</v>
      </c>
      <c r="H102" s="194">
        <f>0</f>
        <v>0</v>
      </c>
      <c r="I102" s="195">
        <f>0</f>
        <v>0</v>
      </c>
      <c r="J102" s="196">
        <f>0</f>
        <v>0</v>
      </c>
      <c r="K102" s="196">
        <f>0</f>
        <v>0</v>
      </c>
      <c r="L102" s="196">
        <f>0</f>
        <v>0</v>
      </c>
      <c r="M102" s="196">
        <f>0</f>
        <v>0</v>
      </c>
      <c r="N102" s="196">
        <f>0</f>
        <v>0</v>
      </c>
      <c r="O102" s="196">
        <f>0</f>
        <v>0</v>
      </c>
      <c r="P102" s="196">
        <f>0</f>
        <v>0</v>
      </c>
      <c r="Q102" s="196">
        <f>0</f>
        <v>0</v>
      </c>
      <c r="R102" s="196">
        <f>0</f>
        <v>0</v>
      </c>
      <c r="S102" s="196">
        <f>0</f>
        <v>0</v>
      </c>
      <c r="T102" s="196">
        <f>0</f>
        <v>0</v>
      </c>
      <c r="U102" s="196">
        <f>0</f>
        <v>0</v>
      </c>
      <c r="V102" s="196">
        <f>0</f>
        <v>0</v>
      </c>
      <c r="W102" s="196">
        <f>0</f>
        <v>0</v>
      </c>
      <c r="X102" s="196">
        <f>0</f>
        <v>0</v>
      </c>
      <c r="Y102" s="196">
        <f>0</f>
        <v>0</v>
      </c>
      <c r="Z102" s="196">
        <f>0</f>
        <v>0</v>
      </c>
      <c r="AA102" s="196">
        <f>0</f>
        <v>0</v>
      </c>
      <c r="AB102" s="196">
        <f>0</f>
        <v>0</v>
      </c>
      <c r="AC102" s="196">
        <f>0</f>
        <v>0</v>
      </c>
      <c r="AD102" s="196">
        <f>0</f>
        <v>0</v>
      </c>
      <c r="AE102" s="196">
        <f>0</f>
        <v>0</v>
      </c>
      <c r="AF102" s="196">
        <f>0</f>
        <v>0</v>
      </c>
      <c r="AG102" s="196">
        <f>0</f>
        <v>0</v>
      </c>
      <c r="AH102" s="196">
        <f>0</f>
        <v>0</v>
      </c>
      <c r="AI102" s="196">
        <f>0</f>
        <v>0</v>
      </c>
      <c r="AJ102" s="196">
        <f>0</f>
        <v>0</v>
      </c>
      <c r="AK102" s="196">
        <f>0</f>
        <v>0</v>
      </c>
      <c r="AL102" s="197">
        <f>0</f>
        <v>0</v>
      </c>
    </row>
    <row r="103" spans="1:39" ht="15" outlineLevel="1">
      <c r="A103" s="264" t="s">
        <v>204</v>
      </c>
      <c r="B103" s="292">
        <v>14</v>
      </c>
      <c r="C103" s="293" t="s">
        <v>438</v>
      </c>
      <c r="D103" s="294" t="s">
        <v>438</v>
      </c>
      <c r="E103" s="198" t="s">
        <v>204</v>
      </c>
      <c r="F103" s="199" t="s">
        <v>204</v>
      </c>
      <c r="G103" s="199" t="s">
        <v>204</v>
      </c>
      <c r="H103" s="200" t="s">
        <v>204</v>
      </c>
      <c r="I103" s="201" t="s">
        <v>204</v>
      </c>
      <c r="J103" s="202" t="s">
        <v>204</v>
      </c>
      <c r="K103" s="202" t="s">
        <v>204</v>
      </c>
      <c r="L103" s="202" t="s">
        <v>204</v>
      </c>
      <c r="M103" s="202" t="s">
        <v>204</v>
      </c>
      <c r="N103" s="202" t="s">
        <v>204</v>
      </c>
      <c r="O103" s="202" t="s">
        <v>204</v>
      </c>
      <c r="P103" s="202" t="s">
        <v>204</v>
      </c>
      <c r="Q103" s="202" t="s">
        <v>204</v>
      </c>
      <c r="R103" s="202" t="s">
        <v>204</v>
      </c>
      <c r="S103" s="202" t="s">
        <v>204</v>
      </c>
      <c r="T103" s="202" t="s">
        <v>204</v>
      </c>
      <c r="U103" s="202" t="s">
        <v>204</v>
      </c>
      <c r="V103" s="202" t="s">
        <v>204</v>
      </c>
      <c r="W103" s="202" t="s">
        <v>204</v>
      </c>
      <c r="X103" s="202" t="s">
        <v>204</v>
      </c>
      <c r="Y103" s="202" t="s">
        <v>204</v>
      </c>
      <c r="Z103" s="202" t="s">
        <v>204</v>
      </c>
      <c r="AA103" s="202" t="s">
        <v>204</v>
      </c>
      <c r="AB103" s="202" t="s">
        <v>204</v>
      </c>
      <c r="AC103" s="202" t="s">
        <v>204</v>
      </c>
      <c r="AD103" s="202" t="s">
        <v>204</v>
      </c>
      <c r="AE103" s="202" t="s">
        <v>204</v>
      </c>
      <c r="AF103" s="202" t="s">
        <v>204</v>
      </c>
      <c r="AG103" s="202" t="s">
        <v>204</v>
      </c>
      <c r="AH103" s="202" t="s">
        <v>204</v>
      </c>
      <c r="AI103" s="202" t="s">
        <v>204</v>
      </c>
      <c r="AJ103" s="202" t="s">
        <v>204</v>
      </c>
      <c r="AK103" s="202" t="s">
        <v>204</v>
      </c>
      <c r="AL103" s="203" t="s">
        <v>204</v>
      </c>
      <c r="AM103" s="295"/>
    </row>
    <row r="104" spans="1:39" ht="27.75" customHeight="1" outlineLevel="2">
      <c r="A104" s="264" t="s">
        <v>204</v>
      </c>
      <c r="B104" s="296" t="s">
        <v>439</v>
      </c>
      <c r="C104" s="299" t="s">
        <v>440</v>
      </c>
      <c r="D104" s="298" t="s">
        <v>441</v>
      </c>
      <c r="E104" s="192">
        <f>0</f>
        <v>0</v>
      </c>
      <c r="F104" s="193">
        <f>1503605.29</f>
        <v>1503605.29</v>
      </c>
      <c r="G104" s="193">
        <f>1594521</f>
        <v>1594521</v>
      </c>
      <c r="H104" s="194">
        <f>0</f>
        <v>0</v>
      </c>
      <c r="I104" s="195">
        <f>1864521</f>
        <v>1864521</v>
      </c>
      <c r="J104" s="196">
        <f>1964521</f>
        <v>1964521</v>
      </c>
      <c r="K104" s="196">
        <f>1964521</f>
        <v>1964521</v>
      </c>
      <c r="L104" s="196">
        <f>1964521</f>
        <v>1964521</v>
      </c>
      <c r="M104" s="196">
        <f>1964521</f>
        <v>1964521</v>
      </c>
      <c r="N104" s="196">
        <f>1964521</f>
        <v>1964521</v>
      </c>
      <c r="O104" s="196">
        <f>1924521</f>
        <v>1924521</v>
      </c>
      <c r="P104" s="196">
        <f>1021127</f>
        <v>1021127</v>
      </c>
      <c r="Q104" s="196">
        <f>369963</f>
        <v>369963</v>
      </c>
      <c r="R104" s="196">
        <f>270045.42</f>
        <v>270045.42</v>
      </c>
      <c r="S104" s="196">
        <f>0</f>
        <v>0</v>
      </c>
      <c r="T104" s="196">
        <f>0</f>
        <v>0</v>
      </c>
      <c r="U104" s="196">
        <f>0</f>
        <v>0</v>
      </c>
      <c r="V104" s="196">
        <f>0</f>
        <v>0</v>
      </c>
      <c r="W104" s="196">
        <f>0</f>
        <v>0</v>
      </c>
      <c r="X104" s="196">
        <f>0</f>
        <v>0</v>
      </c>
      <c r="Y104" s="196">
        <f>0</f>
        <v>0</v>
      </c>
      <c r="Z104" s="196">
        <f>0</f>
        <v>0</v>
      </c>
      <c r="AA104" s="196">
        <f>0</f>
        <v>0</v>
      </c>
      <c r="AB104" s="196">
        <f>0</f>
        <v>0</v>
      </c>
      <c r="AC104" s="196">
        <f>0</f>
        <v>0</v>
      </c>
      <c r="AD104" s="196">
        <f>0</f>
        <v>0</v>
      </c>
      <c r="AE104" s="196">
        <f>0</f>
        <v>0</v>
      </c>
      <c r="AF104" s="196">
        <f>0</f>
        <v>0</v>
      </c>
      <c r="AG104" s="196">
        <f>0</f>
        <v>0</v>
      </c>
      <c r="AH104" s="196">
        <f>0</f>
        <v>0</v>
      </c>
      <c r="AI104" s="196">
        <f>0</f>
        <v>0</v>
      </c>
      <c r="AJ104" s="196">
        <f>0</f>
        <v>0</v>
      </c>
      <c r="AK104" s="196">
        <f>0</f>
        <v>0</v>
      </c>
      <c r="AL104" s="197">
        <f>0</f>
        <v>0</v>
      </c>
    </row>
    <row r="105" spans="1:39" outlineLevel="2">
      <c r="A105" s="264" t="s">
        <v>204</v>
      </c>
      <c r="B105" s="296" t="s">
        <v>442</v>
      </c>
      <c r="C105" s="299" t="s">
        <v>443</v>
      </c>
      <c r="D105" s="298" t="s">
        <v>444</v>
      </c>
      <c r="E105" s="192">
        <f>3736719</f>
        <v>3736719</v>
      </c>
      <c r="F105" s="193">
        <f>3198776.62</f>
        <v>3198776.62</v>
      </c>
      <c r="G105" s="193">
        <f>2377811</f>
        <v>2377811</v>
      </c>
      <c r="H105" s="194">
        <f>2578389.59</f>
        <v>2578389.59</v>
      </c>
      <c r="I105" s="195">
        <f>1698359.13</f>
        <v>1698359.13</v>
      </c>
      <c r="J105" s="196">
        <f>1018904.72</f>
        <v>1018904.72</v>
      </c>
      <c r="K105" s="196">
        <f>339451</f>
        <v>339451</v>
      </c>
      <c r="L105" s="196">
        <f>10986</f>
        <v>10986</v>
      </c>
      <c r="M105" s="196">
        <f>0</f>
        <v>0</v>
      </c>
      <c r="N105" s="196">
        <f>0</f>
        <v>0</v>
      </c>
      <c r="O105" s="196">
        <f>0</f>
        <v>0</v>
      </c>
      <c r="P105" s="196">
        <f>0</f>
        <v>0</v>
      </c>
      <c r="Q105" s="196">
        <f>0</f>
        <v>0</v>
      </c>
      <c r="R105" s="196">
        <f>0</f>
        <v>0</v>
      </c>
      <c r="S105" s="196">
        <f>0</f>
        <v>0</v>
      </c>
      <c r="T105" s="196">
        <f>0</f>
        <v>0</v>
      </c>
      <c r="U105" s="196">
        <f>0</f>
        <v>0</v>
      </c>
      <c r="V105" s="196">
        <f>0</f>
        <v>0</v>
      </c>
      <c r="W105" s="196">
        <f>0</f>
        <v>0</v>
      </c>
      <c r="X105" s="196">
        <f>0</f>
        <v>0</v>
      </c>
      <c r="Y105" s="196">
        <f>0</f>
        <v>0</v>
      </c>
      <c r="Z105" s="196">
        <f>0</f>
        <v>0</v>
      </c>
      <c r="AA105" s="196">
        <f>0</f>
        <v>0</v>
      </c>
      <c r="AB105" s="196">
        <f>0</f>
        <v>0</v>
      </c>
      <c r="AC105" s="196">
        <f>0</f>
        <v>0</v>
      </c>
      <c r="AD105" s="196">
        <f>0</f>
        <v>0</v>
      </c>
      <c r="AE105" s="196">
        <f>0</f>
        <v>0</v>
      </c>
      <c r="AF105" s="196">
        <f>0</f>
        <v>0</v>
      </c>
      <c r="AG105" s="196">
        <f>0</f>
        <v>0</v>
      </c>
      <c r="AH105" s="196">
        <f>0</f>
        <v>0</v>
      </c>
      <c r="AI105" s="196">
        <f>0</f>
        <v>0</v>
      </c>
      <c r="AJ105" s="196">
        <f>0</f>
        <v>0</v>
      </c>
      <c r="AK105" s="196">
        <f>0</f>
        <v>0</v>
      </c>
      <c r="AL105" s="197">
        <f>0</f>
        <v>0</v>
      </c>
    </row>
    <row r="106" spans="1:39" outlineLevel="2">
      <c r="A106" s="264" t="s">
        <v>204</v>
      </c>
      <c r="B106" s="296" t="s">
        <v>445</v>
      </c>
      <c r="C106" s="299" t="s">
        <v>446</v>
      </c>
      <c r="D106" s="298" t="s">
        <v>447</v>
      </c>
      <c r="E106" s="192">
        <f>0</f>
        <v>0</v>
      </c>
      <c r="F106" s="193">
        <f>679453</f>
        <v>679453</v>
      </c>
      <c r="G106" s="193">
        <f>820965.62</f>
        <v>820965.62</v>
      </c>
      <c r="H106" s="194">
        <f>820965.42</f>
        <v>820965.42</v>
      </c>
      <c r="I106" s="195">
        <f>880030.46</f>
        <v>880030.46</v>
      </c>
      <c r="J106" s="196">
        <f>679454.41</f>
        <v>679454.41</v>
      </c>
      <c r="K106" s="196">
        <f>679453.72</f>
        <v>679453.72</v>
      </c>
      <c r="L106" s="196">
        <f>328465</f>
        <v>328465</v>
      </c>
      <c r="M106" s="196">
        <f>10986</f>
        <v>10986</v>
      </c>
      <c r="N106" s="196">
        <f>0</f>
        <v>0</v>
      </c>
      <c r="O106" s="196">
        <f>0</f>
        <v>0</v>
      </c>
      <c r="P106" s="196">
        <f>0</f>
        <v>0</v>
      </c>
      <c r="Q106" s="196">
        <f>0</f>
        <v>0</v>
      </c>
      <c r="R106" s="196">
        <f>0</f>
        <v>0</v>
      </c>
      <c r="S106" s="196">
        <f>0</f>
        <v>0</v>
      </c>
      <c r="T106" s="196">
        <f>0</f>
        <v>0</v>
      </c>
      <c r="U106" s="196">
        <f>0</f>
        <v>0</v>
      </c>
      <c r="V106" s="196">
        <f>0</f>
        <v>0</v>
      </c>
      <c r="W106" s="196">
        <f>0</f>
        <v>0</v>
      </c>
      <c r="X106" s="196">
        <f>0</f>
        <v>0</v>
      </c>
      <c r="Y106" s="196">
        <f>0</f>
        <v>0</v>
      </c>
      <c r="Z106" s="196">
        <f>0</f>
        <v>0</v>
      </c>
      <c r="AA106" s="196">
        <f>0</f>
        <v>0</v>
      </c>
      <c r="AB106" s="196">
        <f>0</f>
        <v>0</v>
      </c>
      <c r="AC106" s="196">
        <f>0</f>
        <v>0</v>
      </c>
      <c r="AD106" s="196">
        <f>0</f>
        <v>0</v>
      </c>
      <c r="AE106" s="196">
        <f>0</f>
        <v>0</v>
      </c>
      <c r="AF106" s="196">
        <f>0</f>
        <v>0</v>
      </c>
      <c r="AG106" s="196">
        <f>0</f>
        <v>0</v>
      </c>
      <c r="AH106" s="196">
        <f>0</f>
        <v>0</v>
      </c>
      <c r="AI106" s="196">
        <f>0</f>
        <v>0</v>
      </c>
      <c r="AJ106" s="196">
        <f>0</f>
        <v>0</v>
      </c>
      <c r="AK106" s="196">
        <f>0</f>
        <v>0</v>
      </c>
      <c r="AL106" s="197">
        <f>0</f>
        <v>0</v>
      </c>
    </row>
    <row r="107" spans="1:39" outlineLevel="3">
      <c r="A107" s="264" t="s">
        <v>204</v>
      </c>
      <c r="B107" s="296" t="s">
        <v>448</v>
      </c>
      <c r="C107" s="299" t="s">
        <v>449</v>
      </c>
      <c r="D107" s="300" t="s">
        <v>450</v>
      </c>
      <c r="E107" s="192">
        <f>0</f>
        <v>0</v>
      </c>
      <c r="F107" s="193">
        <f>0</f>
        <v>0</v>
      </c>
      <c r="G107" s="193">
        <f>141512.21</f>
        <v>141512.21</v>
      </c>
      <c r="H107" s="194">
        <f>141512.21</f>
        <v>141512.21</v>
      </c>
      <c r="I107" s="195">
        <f>0</f>
        <v>0</v>
      </c>
      <c r="J107" s="196">
        <f>0</f>
        <v>0</v>
      </c>
      <c r="K107" s="196">
        <f>0</f>
        <v>0</v>
      </c>
      <c r="L107" s="196">
        <f>0</f>
        <v>0</v>
      </c>
      <c r="M107" s="196">
        <f>0</f>
        <v>0</v>
      </c>
      <c r="N107" s="196">
        <f>0</f>
        <v>0</v>
      </c>
      <c r="O107" s="196">
        <f>0</f>
        <v>0</v>
      </c>
      <c r="P107" s="196">
        <f>0</f>
        <v>0</v>
      </c>
      <c r="Q107" s="196">
        <f>0</f>
        <v>0</v>
      </c>
      <c r="R107" s="196">
        <f>0</f>
        <v>0</v>
      </c>
      <c r="S107" s="196">
        <f>0</f>
        <v>0</v>
      </c>
      <c r="T107" s="196">
        <f>0</f>
        <v>0</v>
      </c>
      <c r="U107" s="196">
        <f>0</f>
        <v>0</v>
      </c>
      <c r="V107" s="196">
        <f>0</f>
        <v>0</v>
      </c>
      <c r="W107" s="196">
        <f>0</f>
        <v>0</v>
      </c>
      <c r="X107" s="196">
        <f>0</f>
        <v>0</v>
      </c>
      <c r="Y107" s="196">
        <f>0</f>
        <v>0</v>
      </c>
      <c r="Z107" s="196">
        <f>0</f>
        <v>0</v>
      </c>
      <c r="AA107" s="196">
        <f>0</f>
        <v>0</v>
      </c>
      <c r="AB107" s="196">
        <f>0</f>
        <v>0</v>
      </c>
      <c r="AC107" s="196">
        <f>0</f>
        <v>0</v>
      </c>
      <c r="AD107" s="196">
        <f>0</f>
        <v>0</v>
      </c>
      <c r="AE107" s="196">
        <f>0</f>
        <v>0</v>
      </c>
      <c r="AF107" s="196">
        <f>0</f>
        <v>0</v>
      </c>
      <c r="AG107" s="196">
        <f>0</f>
        <v>0</v>
      </c>
      <c r="AH107" s="196">
        <f>0</f>
        <v>0</v>
      </c>
      <c r="AI107" s="196">
        <f>0</f>
        <v>0</v>
      </c>
      <c r="AJ107" s="196">
        <f>0</f>
        <v>0</v>
      </c>
      <c r="AK107" s="196">
        <f>0</f>
        <v>0</v>
      </c>
      <c r="AL107" s="197">
        <f>0</f>
        <v>0</v>
      </c>
    </row>
    <row r="108" spans="1:39" ht="24" outlineLevel="3">
      <c r="A108" s="264" t="s">
        <v>204</v>
      </c>
      <c r="B108" s="296" t="s">
        <v>451</v>
      </c>
      <c r="C108" s="299" t="s">
        <v>452</v>
      </c>
      <c r="D108" s="300" t="s">
        <v>453</v>
      </c>
      <c r="E108" s="192">
        <f>0</f>
        <v>0</v>
      </c>
      <c r="F108" s="193">
        <f>679453</f>
        <v>679453</v>
      </c>
      <c r="G108" s="193">
        <f>679453.41</f>
        <v>679453.41</v>
      </c>
      <c r="H108" s="194">
        <f>679453.2</f>
        <v>679453.2</v>
      </c>
      <c r="I108" s="195">
        <f>880030.46</f>
        <v>880030.46</v>
      </c>
      <c r="J108" s="196">
        <f>679454.41</f>
        <v>679454.41</v>
      </c>
      <c r="K108" s="196">
        <f>679453.72</f>
        <v>679453.72</v>
      </c>
      <c r="L108" s="196">
        <f>328465</f>
        <v>328465</v>
      </c>
      <c r="M108" s="196">
        <f>10986</f>
        <v>10986</v>
      </c>
      <c r="N108" s="196">
        <f>0</f>
        <v>0</v>
      </c>
      <c r="O108" s="196">
        <f>0</f>
        <v>0</v>
      </c>
      <c r="P108" s="196">
        <f>0</f>
        <v>0</v>
      </c>
      <c r="Q108" s="196">
        <f>0</f>
        <v>0</v>
      </c>
      <c r="R108" s="196">
        <f>0</f>
        <v>0</v>
      </c>
      <c r="S108" s="196">
        <f>0</f>
        <v>0</v>
      </c>
      <c r="T108" s="196">
        <f>0</f>
        <v>0</v>
      </c>
      <c r="U108" s="196">
        <f>0</f>
        <v>0</v>
      </c>
      <c r="V108" s="196">
        <f>0</f>
        <v>0</v>
      </c>
      <c r="W108" s="196">
        <f>0</f>
        <v>0</v>
      </c>
      <c r="X108" s="196">
        <f>0</f>
        <v>0</v>
      </c>
      <c r="Y108" s="196">
        <f>0</f>
        <v>0</v>
      </c>
      <c r="Z108" s="196">
        <f>0</f>
        <v>0</v>
      </c>
      <c r="AA108" s="196">
        <f>0</f>
        <v>0</v>
      </c>
      <c r="AB108" s="196">
        <f>0</f>
        <v>0</v>
      </c>
      <c r="AC108" s="196">
        <f>0</f>
        <v>0</v>
      </c>
      <c r="AD108" s="196">
        <f>0</f>
        <v>0</v>
      </c>
      <c r="AE108" s="196">
        <f>0</f>
        <v>0</v>
      </c>
      <c r="AF108" s="196">
        <f>0</f>
        <v>0</v>
      </c>
      <c r="AG108" s="196">
        <f>0</f>
        <v>0</v>
      </c>
      <c r="AH108" s="196">
        <f>0</f>
        <v>0</v>
      </c>
      <c r="AI108" s="196">
        <f>0</f>
        <v>0</v>
      </c>
      <c r="AJ108" s="196">
        <f>0</f>
        <v>0</v>
      </c>
      <c r="AK108" s="196">
        <f>0</f>
        <v>0</v>
      </c>
      <c r="AL108" s="197">
        <f>0</f>
        <v>0</v>
      </c>
    </row>
    <row r="109" spans="1:39" outlineLevel="3">
      <c r="A109" s="264" t="s">
        <v>204</v>
      </c>
      <c r="B109" s="296" t="s">
        <v>454</v>
      </c>
      <c r="C109" s="299" t="s">
        <v>455</v>
      </c>
      <c r="D109" s="300" t="s">
        <v>456</v>
      </c>
      <c r="E109" s="192">
        <f>0</f>
        <v>0</v>
      </c>
      <c r="F109" s="193">
        <f>0</f>
        <v>0</v>
      </c>
      <c r="G109" s="193">
        <f>0</f>
        <v>0</v>
      </c>
      <c r="H109" s="194">
        <f>0</f>
        <v>0</v>
      </c>
      <c r="I109" s="195">
        <f>0</f>
        <v>0</v>
      </c>
      <c r="J109" s="196">
        <f>0</f>
        <v>0</v>
      </c>
      <c r="K109" s="196">
        <f>0</f>
        <v>0</v>
      </c>
      <c r="L109" s="196">
        <f>0</f>
        <v>0</v>
      </c>
      <c r="M109" s="196">
        <f>0</f>
        <v>0</v>
      </c>
      <c r="N109" s="196">
        <f>0</f>
        <v>0</v>
      </c>
      <c r="O109" s="196">
        <f>0</f>
        <v>0</v>
      </c>
      <c r="P109" s="196">
        <f>0</f>
        <v>0</v>
      </c>
      <c r="Q109" s="196">
        <f>0</f>
        <v>0</v>
      </c>
      <c r="R109" s="196">
        <f>0</f>
        <v>0</v>
      </c>
      <c r="S109" s="196">
        <f>0</f>
        <v>0</v>
      </c>
      <c r="T109" s="196">
        <f>0</f>
        <v>0</v>
      </c>
      <c r="U109" s="196">
        <f>0</f>
        <v>0</v>
      </c>
      <c r="V109" s="196">
        <f>0</f>
        <v>0</v>
      </c>
      <c r="W109" s="196">
        <f>0</f>
        <v>0</v>
      </c>
      <c r="X109" s="196">
        <f>0</f>
        <v>0</v>
      </c>
      <c r="Y109" s="196">
        <f>0</f>
        <v>0</v>
      </c>
      <c r="Z109" s="196">
        <f>0</f>
        <v>0</v>
      </c>
      <c r="AA109" s="196">
        <f>0</f>
        <v>0</v>
      </c>
      <c r="AB109" s="196">
        <f>0</f>
        <v>0</v>
      </c>
      <c r="AC109" s="196">
        <f>0</f>
        <v>0</v>
      </c>
      <c r="AD109" s="196">
        <f>0</f>
        <v>0</v>
      </c>
      <c r="AE109" s="196">
        <f>0</f>
        <v>0</v>
      </c>
      <c r="AF109" s="196">
        <f>0</f>
        <v>0</v>
      </c>
      <c r="AG109" s="196">
        <f>0</f>
        <v>0</v>
      </c>
      <c r="AH109" s="196">
        <f>0</f>
        <v>0</v>
      </c>
      <c r="AI109" s="196">
        <f>0</f>
        <v>0</v>
      </c>
      <c r="AJ109" s="196">
        <f>0</f>
        <v>0</v>
      </c>
      <c r="AK109" s="196">
        <f>0</f>
        <v>0</v>
      </c>
      <c r="AL109" s="197">
        <f>0</f>
        <v>0</v>
      </c>
    </row>
    <row r="110" spans="1:39" ht="24" customHeight="1" outlineLevel="2">
      <c r="A110" s="264" t="s">
        <v>204</v>
      </c>
      <c r="B110" s="296" t="s">
        <v>457</v>
      </c>
      <c r="C110" s="299" t="s">
        <v>458</v>
      </c>
      <c r="D110" s="298" t="s">
        <v>459</v>
      </c>
      <c r="E110" s="192">
        <f>0</f>
        <v>0</v>
      </c>
      <c r="F110" s="193">
        <f>0</f>
        <v>0</v>
      </c>
      <c r="G110" s="193">
        <f>0</f>
        <v>0</v>
      </c>
      <c r="H110" s="194">
        <f>0</f>
        <v>0</v>
      </c>
      <c r="I110" s="195">
        <f>0</f>
        <v>0</v>
      </c>
      <c r="J110" s="196">
        <f>0</f>
        <v>0</v>
      </c>
      <c r="K110" s="196">
        <f>0</f>
        <v>0</v>
      </c>
      <c r="L110" s="196">
        <f>0</f>
        <v>0</v>
      </c>
      <c r="M110" s="196">
        <f>0</f>
        <v>0</v>
      </c>
      <c r="N110" s="196">
        <f>0</f>
        <v>0</v>
      </c>
      <c r="O110" s="196">
        <f>0</f>
        <v>0</v>
      </c>
      <c r="P110" s="196">
        <f>0</f>
        <v>0</v>
      </c>
      <c r="Q110" s="196">
        <f>0</f>
        <v>0</v>
      </c>
      <c r="R110" s="196">
        <f>0</f>
        <v>0</v>
      </c>
      <c r="S110" s="196">
        <f>0</f>
        <v>0</v>
      </c>
      <c r="T110" s="196">
        <f>0</f>
        <v>0</v>
      </c>
      <c r="U110" s="196">
        <f>0</f>
        <v>0</v>
      </c>
      <c r="V110" s="196">
        <f>0</f>
        <v>0</v>
      </c>
      <c r="W110" s="196">
        <f>0</f>
        <v>0</v>
      </c>
      <c r="X110" s="196">
        <f>0</f>
        <v>0</v>
      </c>
      <c r="Y110" s="196">
        <f>0</f>
        <v>0</v>
      </c>
      <c r="Z110" s="196">
        <f>0</f>
        <v>0</v>
      </c>
      <c r="AA110" s="196">
        <f>0</f>
        <v>0</v>
      </c>
      <c r="AB110" s="196">
        <f>0</f>
        <v>0</v>
      </c>
      <c r="AC110" s="196">
        <f>0</f>
        <v>0</v>
      </c>
      <c r="AD110" s="196">
        <f>0</f>
        <v>0</v>
      </c>
      <c r="AE110" s="196">
        <f>0</f>
        <v>0</v>
      </c>
      <c r="AF110" s="196">
        <f>0</f>
        <v>0</v>
      </c>
      <c r="AG110" s="196">
        <f>0</f>
        <v>0</v>
      </c>
      <c r="AH110" s="196">
        <f>0</f>
        <v>0</v>
      </c>
      <c r="AI110" s="196">
        <f>0</f>
        <v>0</v>
      </c>
      <c r="AJ110" s="196">
        <f>0</f>
        <v>0</v>
      </c>
      <c r="AK110" s="196">
        <f>0</f>
        <v>0</v>
      </c>
      <c r="AL110" s="197">
        <f>0</f>
        <v>0</v>
      </c>
    </row>
    <row r="111" spans="1:39" outlineLevel="1">
      <c r="B111" s="292">
        <v>15</v>
      </c>
      <c r="C111" s="293" t="s">
        <v>460</v>
      </c>
      <c r="D111" s="294" t="s">
        <v>460</v>
      </c>
      <c r="E111" s="198" t="s">
        <v>204</v>
      </c>
      <c r="F111" s="199" t="s">
        <v>204</v>
      </c>
      <c r="G111" s="199" t="s">
        <v>204</v>
      </c>
      <c r="H111" s="200" t="s">
        <v>204</v>
      </c>
      <c r="I111" s="201" t="s">
        <v>204</v>
      </c>
      <c r="J111" s="202" t="s">
        <v>204</v>
      </c>
      <c r="K111" s="202" t="s">
        <v>204</v>
      </c>
      <c r="L111" s="202" t="s">
        <v>204</v>
      </c>
      <c r="M111" s="202" t="s">
        <v>204</v>
      </c>
      <c r="N111" s="202" t="s">
        <v>204</v>
      </c>
      <c r="O111" s="202" t="s">
        <v>204</v>
      </c>
      <c r="P111" s="202" t="s">
        <v>204</v>
      </c>
      <c r="Q111" s="202" t="s">
        <v>204</v>
      </c>
      <c r="R111" s="202" t="s">
        <v>204</v>
      </c>
      <c r="S111" s="202" t="s">
        <v>204</v>
      </c>
      <c r="T111" s="202" t="s">
        <v>204</v>
      </c>
      <c r="U111" s="202" t="s">
        <v>204</v>
      </c>
      <c r="V111" s="202" t="s">
        <v>204</v>
      </c>
      <c r="W111" s="202" t="s">
        <v>204</v>
      </c>
      <c r="X111" s="202" t="s">
        <v>204</v>
      </c>
      <c r="Y111" s="202" t="s">
        <v>204</v>
      </c>
      <c r="Z111" s="202" t="s">
        <v>204</v>
      </c>
      <c r="AA111" s="202" t="s">
        <v>204</v>
      </c>
      <c r="AB111" s="202" t="s">
        <v>204</v>
      </c>
      <c r="AC111" s="202" t="s">
        <v>204</v>
      </c>
      <c r="AD111" s="202" t="s">
        <v>204</v>
      </c>
      <c r="AE111" s="202" t="s">
        <v>204</v>
      </c>
      <c r="AF111" s="202" t="s">
        <v>204</v>
      </c>
      <c r="AG111" s="202" t="s">
        <v>204</v>
      </c>
      <c r="AH111" s="202" t="s">
        <v>204</v>
      </c>
      <c r="AI111" s="202" t="s">
        <v>204</v>
      </c>
      <c r="AJ111" s="202" t="s">
        <v>204</v>
      </c>
      <c r="AK111" s="202" t="s">
        <v>204</v>
      </c>
      <c r="AL111" s="203" t="s">
        <v>204</v>
      </c>
    </row>
    <row r="112" spans="1:39" outlineLevel="2">
      <c r="B112" s="296" t="s">
        <v>461</v>
      </c>
      <c r="C112" s="299" t="s">
        <v>462</v>
      </c>
      <c r="D112" s="298" t="s">
        <v>463</v>
      </c>
      <c r="E112" s="192">
        <f>0</f>
        <v>0</v>
      </c>
      <c r="F112" s="193">
        <f>0</f>
        <v>0</v>
      </c>
      <c r="G112" s="193">
        <f>0</f>
        <v>0</v>
      </c>
      <c r="H112" s="194">
        <f>0</f>
        <v>0</v>
      </c>
      <c r="I112" s="195">
        <f>0</f>
        <v>0</v>
      </c>
      <c r="J112" s="196">
        <f>0</f>
        <v>0</v>
      </c>
      <c r="K112" s="196">
        <f>0</f>
        <v>0</v>
      </c>
      <c r="L112" s="196">
        <f>0</f>
        <v>0</v>
      </c>
      <c r="M112" s="196">
        <f>0</f>
        <v>0</v>
      </c>
      <c r="N112" s="196">
        <f>0</f>
        <v>0</v>
      </c>
      <c r="O112" s="196">
        <f>0</f>
        <v>0</v>
      </c>
      <c r="P112" s="196">
        <f>0</f>
        <v>0</v>
      </c>
      <c r="Q112" s="196">
        <f>0</f>
        <v>0</v>
      </c>
      <c r="R112" s="196">
        <f>0</f>
        <v>0</v>
      </c>
      <c r="S112" s="196">
        <f>0</f>
        <v>0</v>
      </c>
      <c r="T112" s="196">
        <f>0</f>
        <v>0</v>
      </c>
      <c r="U112" s="196">
        <f>0</f>
        <v>0</v>
      </c>
      <c r="V112" s="196">
        <f>0</f>
        <v>0</v>
      </c>
      <c r="W112" s="196">
        <f>0</f>
        <v>0</v>
      </c>
      <c r="X112" s="196">
        <f>0</f>
        <v>0</v>
      </c>
      <c r="Y112" s="196">
        <f>0</f>
        <v>0</v>
      </c>
      <c r="Z112" s="196">
        <f>0</f>
        <v>0</v>
      </c>
      <c r="AA112" s="196">
        <f>0</f>
        <v>0</v>
      </c>
      <c r="AB112" s="196">
        <f>0</f>
        <v>0</v>
      </c>
      <c r="AC112" s="196">
        <f>0</f>
        <v>0</v>
      </c>
      <c r="AD112" s="196">
        <f>0</f>
        <v>0</v>
      </c>
      <c r="AE112" s="196">
        <f>0</f>
        <v>0</v>
      </c>
      <c r="AF112" s="196">
        <f>0</f>
        <v>0</v>
      </c>
      <c r="AG112" s="196">
        <f>0</f>
        <v>0</v>
      </c>
      <c r="AH112" s="196">
        <f>0</f>
        <v>0</v>
      </c>
      <c r="AI112" s="196">
        <f>0</f>
        <v>0</v>
      </c>
      <c r="AJ112" s="196">
        <f>0</f>
        <v>0</v>
      </c>
      <c r="AK112" s="196">
        <f>0</f>
        <v>0</v>
      </c>
      <c r="AL112" s="197">
        <f>0</f>
        <v>0</v>
      </c>
    </row>
    <row r="113" spans="1:39" outlineLevel="3">
      <c r="A113" s="264" t="s">
        <v>204</v>
      </c>
      <c r="B113" s="296" t="s">
        <v>464</v>
      </c>
      <c r="C113" s="299" t="s">
        <v>465</v>
      </c>
      <c r="D113" s="300" t="s">
        <v>466</v>
      </c>
      <c r="E113" s="192">
        <f>0</f>
        <v>0</v>
      </c>
      <c r="F113" s="193">
        <f>0</f>
        <v>0</v>
      </c>
      <c r="G113" s="193">
        <f>0</f>
        <v>0</v>
      </c>
      <c r="H113" s="194">
        <f>0</f>
        <v>0</v>
      </c>
      <c r="I113" s="195">
        <f>0</f>
        <v>0</v>
      </c>
      <c r="J113" s="196">
        <f>0</f>
        <v>0</v>
      </c>
      <c r="K113" s="196">
        <f>0</f>
        <v>0</v>
      </c>
      <c r="L113" s="196">
        <f>0</f>
        <v>0</v>
      </c>
      <c r="M113" s="196">
        <f>0</f>
        <v>0</v>
      </c>
      <c r="N113" s="196">
        <f>0</f>
        <v>0</v>
      </c>
      <c r="O113" s="196">
        <f>0</f>
        <v>0</v>
      </c>
      <c r="P113" s="196">
        <f>0</f>
        <v>0</v>
      </c>
      <c r="Q113" s="196">
        <f>0</f>
        <v>0</v>
      </c>
      <c r="R113" s="196">
        <f>0</f>
        <v>0</v>
      </c>
      <c r="S113" s="196">
        <f>0</f>
        <v>0</v>
      </c>
      <c r="T113" s="196">
        <f>0</f>
        <v>0</v>
      </c>
      <c r="U113" s="196">
        <f>0</f>
        <v>0</v>
      </c>
      <c r="V113" s="196">
        <f>0</f>
        <v>0</v>
      </c>
      <c r="W113" s="196">
        <f>0</f>
        <v>0</v>
      </c>
      <c r="X113" s="196">
        <f>0</f>
        <v>0</v>
      </c>
      <c r="Y113" s="196">
        <f>0</f>
        <v>0</v>
      </c>
      <c r="Z113" s="196">
        <f>0</f>
        <v>0</v>
      </c>
      <c r="AA113" s="196">
        <f>0</f>
        <v>0</v>
      </c>
      <c r="AB113" s="196">
        <f>0</f>
        <v>0</v>
      </c>
      <c r="AC113" s="196">
        <f>0</f>
        <v>0</v>
      </c>
      <c r="AD113" s="196">
        <f>0</f>
        <v>0</v>
      </c>
      <c r="AE113" s="196">
        <f>0</f>
        <v>0</v>
      </c>
      <c r="AF113" s="196">
        <f>0</f>
        <v>0</v>
      </c>
      <c r="AG113" s="196">
        <f>0</f>
        <v>0</v>
      </c>
      <c r="AH113" s="196">
        <f>0</f>
        <v>0</v>
      </c>
      <c r="AI113" s="196">
        <f>0</f>
        <v>0</v>
      </c>
      <c r="AJ113" s="196">
        <f>0</f>
        <v>0</v>
      </c>
      <c r="AK113" s="196">
        <f>0</f>
        <v>0</v>
      </c>
      <c r="AL113" s="197">
        <f>0</f>
        <v>0</v>
      </c>
    </row>
    <row r="114" spans="1:39" ht="27" customHeight="1" outlineLevel="2">
      <c r="A114" s="264" t="s">
        <v>204</v>
      </c>
      <c r="B114" s="308" t="s">
        <v>467</v>
      </c>
      <c r="C114" s="309" t="s">
        <v>468</v>
      </c>
      <c r="D114" s="310" t="s">
        <v>468</v>
      </c>
      <c r="E114" s="213">
        <f>0</f>
        <v>0</v>
      </c>
      <c r="F114" s="214">
        <f>0</f>
        <v>0</v>
      </c>
      <c r="G114" s="214">
        <f>0</f>
        <v>0</v>
      </c>
      <c r="H114" s="215">
        <f>0</f>
        <v>0</v>
      </c>
      <c r="I114" s="216">
        <f>0</f>
        <v>0</v>
      </c>
      <c r="J114" s="217">
        <f>0</f>
        <v>0</v>
      </c>
      <c r="K114" s="217">
        <f>0</f>
        <v>0</v>
      </c>
      <c r="L114" s="217">
        <f>0</f>
        <v>0</v>
      </c>
      <c r="M114" s="217">
        <f>0</f>
        <v>0</v>
      </c>
      <c r="N114" s="217">
        <f>0</f>
        <v>0</v>
      </c>
      <c r="O114" s="217">
        <f>0</f>
        <v>0</v>
      </c>
      <c r="P114" s="217">
        <f>0</f>
        <v>0</v>
      </c>
      <c r="Q114" s="217">
        <f>0</f>
        <v>0</v>
      </c>
      <c r="R114" s="217">
        <f>0</f>
        <v>0</v>
      </c>
      <c r="S114" s="217">
        <f>0</f>
        <v>0</v>
      </c>
      <c r="T114" s="217">
        <f>0</f>
        <v>0</v>
      </c>
      <c r="U114" s="217">
        <f>0</f>
        <v>0</v>
      </c>
      <c r="V114" s="217">
        <f>0</f>
        <v>0</v>
      </c>
      <c r="W114" s="217">
        <f>0</f>
        <v>0</v>
      </c>
      <c r="X114" s="217">
        <f>0</f>
        <v>0</v>
      </c>
      <c r="Y114" s="217">
        <f>0</f>
        <v>0</v>
      </c>
      <c r="Z114" s="217">
        <f>0</f>
        <v>0</v>
      </c>
      <c r="AA114" s="217">
        <f>0</f>
        <v>0</v>
      </c>
      <c r="AB114" s="217">
        <f>0</f>
        <v>0</v>
      </c>
      <c r="AC114" s="217">
        <f>0</f>
        <v>0</v>
      </c>
      <c r="AD114" s="217">
        <f>0</f>
        <v>0</v>
      </c>
      <c r="AE114" s="217">
        <f>0</f>
        <v>0</v>
      </c>
      <c r="AF114" s="217">
        <f>0</f>
        <v>0</v>
      </c>
      <c r="AG114" s="217">
        <f>0</f>
        <v>0</v>
      </c>
      <c r="AH114" s="217">
        <f>0</f>
        <v>0</v>
      </c>
      <c r="AI114" s="217">
        <f>0</f>
        <v>0</v>
      </c>
      <c r="AJ114" s="217">
        <f>0</f>
        <v>0</v>
      </c>
      <c r="AK114" s="217">
        <f>0</f>
        <v>0</v>
      </c>
      <c r="AL114" s="218">
        <f>0</f>
        <v>0</v>
      </c>
    </row>
    <row r="115" spans="1:39" ht="13.5" hidden="1" customHeight="1">
      <c r="B115" s="311"/>
      <c r="C115" s="311"/>
      <c r="D115" s="311"/>
      <c r="E115" s="311"/>
      <c r="F115" s="311"/>
      <c r="G115" s="311"/>
      <c r="H115" s="311"/>
      <c r="I115" s="311"/>
      <c r="J115" s="311"/>
      <c r="K115" s="311"/>
      <c r="L115" s="311"/>
      <c r="M115" s="311"/>
      <c r="N115" s="311"/>
      <c r="O115" s="311"/>
      <c r="P115" s="311"/>
      <c r="Q115" s="311"/>
      <c r="R115" s="311"/>
      <c r="S115" s="311"/>
      <c r="T115" s="311"/>
      <c r="U115" s="311"/>
      <c r="V115" s="311"/>
      <c r="W115" s="311"/>
      <c r="X115" s="311"/>
      <c r="Y115" s="311"/>
      <c r="Z115" s="311"/>
      <c r="AA115" s="311"/>
      <c r="AB115" s="311"/>
      <c r="AC115" s="311"/>
      <c r="AD115" s="311"/>
      <c r="AE115" s="311"/>
      <c r="AF115" s="311"/>
      <c r="AG115" s="311"/>
      <c r="AH115" s="311"/>
      <c r="AI115" s="311"/>
      <c r="AJ115" s="311"/>
      <c r="AK115" s="311"/>
      <c r="AL115" s="311"/>
      <c r="AM115" s="267"/>
    </row>
    <row r="116" spans="1:39" ht="13.5" hidden="1" customHeight="1">
      <c r="B116" s="312" t="s">
        <v>469</v>
      </c>
      <c r="C116" s="311"/>
      <c r="D116" s="311"/>
      <c r="E116" s="313"/>
      <c r="F116" s="313"/>
      <c r="G116" s="313"/>
      <c r="H116" s="313"/>
      <c r="I116" s="311"/>
      <c r="J116" s="311"/>
      <c r="K116" s="311"/>
      <c r="L116" s="311"/>
      <c r="M116" s="311"/>
      <c r="N116" s="311"/>
      <c r="O116" s="311"/>
      <c r="P116" s="311"/>
      <c r="Q116" s="311"/>
      <c r="R116" s="311"/>
      <c r="S116" s="311"/>
      <c r="T116" s="311"/>
      <c r="U116" s="311"/>
      <c r="V116" s="311"/>
      <c r="W116" s="311"/>
      <c r="X116" s="311"/>
      <c r="Y116" s="311"/>
      <c r="Z116" s="311"/>
      <c r="AA116" s="311"/>
      <c r="AB116" s="311"/>
      <c r="AC116" s="311"/>
      <c r="AD116" s="311"/>
      <c r="AE116" s="311"/>
      <c r="AF116" s="311"/>
      <c r="AG116" s="311"/>
      <c r="AH116" s="311"/>
      <c r="AI116" s="311"/>
      <c r="AJ116" s="311"/>
      <c r="AK116" s="311"/>
      <c r="AL116" s="311"/>
      <c r="AM116" s="267"/>
    </row>
    <row r="117" spans="1:39" ht="13.5" hidden="1" customHeight="1">
      <c r="B117" s="314" t="s">
        <v>470</v>
      </c>
      <c r="C117" s="311"/>
      <c r="D117" s="311"/>
      <c r="E117" s="315"/>
      <c r="F117" s="315"/>
      <c r="G117" s="315"/>
      <c r="H117" s="315"/>
      <c r="I117" s="311"/>
      <c r="J117" s="311"/>
      <c r="K117" s="311"/>
      <c r="L117" s="311"/>
      <c r="M117" s="311"/>
      <c r="N117" s="311"/>
      <c r="O117" s="311"/>
      <c r="P117" s="311"/>
      <c r="Q117" s="311"/>
      <c r="R117" s="311"/>
      <c r="S117" s="311"/>
      <c r="T117" s="311"/>
      <c r="U117" s="311"/>
      <c r="V117" s="311"/>
      <c r="W117" s="311"/>
      <c r="X117" s="311"/>
      <c r="Y117" s="311"/>
      <c r="Z117" s="311"/>
      <c r="AA117" s="311"/>
      <c r="AB117" s="311"/>
      <c r="AC117" s="311"/>
      <c r="AD117" s="311"/>
      <c r="AE117" s="311"/>
      <c r="AF117" s="311"/>
      <c r="AG117" s="311"/>
      <c r="AH117" s="311"/>
      <c r="AI117" s="311"/>
      <c r="AJ117" s="311"/>
      <c r="AK117" s="311"/>
      <c r="AL117" s="311"/>
      <c r="AM117" s="267"/>
    </row>
    <row r="118" spans="1:39" ht="13.5" hidden="1" customHeight="1">
      <c r="B118" s="316"/>
      <c r="C118" s="316"/>
      <c r="D118" s="311"/>
      <c r="E118" s="315"/>
      <c r="F118" s="315"/>
      <c r="G118" s="315"/>
      <c r="H118" s="315"/>
      <c r="I118" s="311"/>
      <c r="J118" s="311"/>
      <c r="K118" s="311"/>
      <c r="L118" s="311"/>
      <c r="M118" s="311"/>
      <c r="N118" s="311"/>
      <c r="O118" s="311"/>
      <c r="P118" s="311"/>
      <c r="Q118" s="311"/>
      <c r="R118" s="311"/>
      <c r="S118" s="311"/>
      <c r="T118" s="311"/>
      <c r="U118" s="311"/>
      <c r="V118" s="311"/>
      <c r="W118" s="311"/>
      <c r="X118" s="311"/>
      <c r="Y118" s="311"/>
      <c r="Z118" s="311"/>
      <c r="AA118" s="311"/>
      <c r="AB118" s="311"/>
      <c r="AC118" s="311"/>
      <c r="AD118" s="311"/>
      <c r="AE118" s="311"/>
      <c r="AF118" s="311"/>
      <c r="AG118" s="311"/>
      <c r="AH118" s="311"/>
      <c r="AI118" s="311"/>
      <c r="AJ118" s="311"/>
      <c r="AK118" s="311"/>
      <c r="AL118" s="311"/>
      <c r="AM118" s="267"/>
    </row>
    <row r="119" spans="1:39" ht="13.5" hidden="1" customHeight="1">
      <c r="B119" s="316"/>
      <c r="C119" s="316"/>
      <c r="D119" s="311"/>
      <c r="E119" s="315"/>
      <c r="F119" s="315"/>
      <c r="G119" s="315"/>
      <c r="H119" s="315"/>
      <c r="I119" s="311"/>
      <c r="J119" s="311"/>
      <c r="K119" s="311"/>
      <c r="L119" s="311"/>
      <c r="M119" s="311"/>
      <c r="N119" s="311"/>
      <c r="O119" s="311"/>
      <c r="P119" s="311"/>
      <c r="Q119" s="311"/>
      <c r="R119" s="311"/>
      <c r="S119" s="311"/>
      <c r="T119" s="311"/>
      <c r="U119" s="311"/>
      <c r="V119" s="311"/>
      <c r="W119" s="311"/>
      <c r="X119" s="311"/>
      <c r="Y119" s="311"/>
      <c r="Z119" s="311"/>
      <c r="AA119" s="311"/>
      <c r="AB119" s="311"/>
      <c r="AC119" s="311"/>
      <c r="AD119" s="311"/>
      <c r="AE119" s="311"/>
      <c r="AF119" s="311"/>
      <c r="AG119" s="311"/>
      <c r="AH119" s="311"/>
      <c r="AI119" s="311"/>
      <c r="AJ119" s="311"/>
      <c r="AK119" s="311"/>
      <c r="AL119" s="311"/>
      <c r="AM119" s="267"/>
    </row>
    <row r="120" spans="1:39" ht="13.5" hidden="1" customHeight="1">
      <c r="B120" s="317" t="s">
        <v>471</v>
      </c>
      <c r="C120" s="317"/>
      <c r="D120" s="317"/>
      <c r="E120" s="318"/>
      <c r="F120" s="318"/>
      <c r="G120" s="318"/>
      <c r="H120" s="315"/>
      <c r="I120" s="311"/>
      <c r="J120" s="311"/>
      <c r="K120" s="311"/>
      <c r="L120" s="311"/>
      <c r="M120" s="311"/>
      <c r="N120" s="311"/>
      <c r="O120" s="311"/>
      <c r="P120" s="311"/>
      <c r="Q120" s="311"/>
      <c r="R120" s="311"/>
      <c r="S120" s="311"/>
      <c r="T120" s="311"/>
      <c r="U120" s="311"/>
      <c r="V120" s="311"/>
      <c r="W120" s="311"/>
      <c r="X120" s="311"/>
      <c r="Y120" s="311"/>
      <c r="Z120" s="311"/>
      <c r="AA120" s="311"/>
      <c r="AB120" s="311"/>
      <c r="AC120" s="311"/>
      <c r="AD120" s="311"/>
      <c r="AE120" s="311"/>
      <c r="AF120" s="311"/>
      <c r="AG120" s="311"/>
      <c r="AH120" s="311"/>
      <c r="AI120" s="311"/>
      <c r="AJ120" s="311"/>
      <c r="AK120" s="311"/>
      <c r="AL120" s="311"/>
      <c r="AM120" s="267"/>
    </row>
    <row r="121" spans="1:39" ht="13.5" hidden="1" customHeight="1" outlineLevel="1">
      <c r="B121" s="319"/>
      <c r="C121" s="319"/>
      <c r="D121" s="320" t="s">
        <v>472</v>
      </c>
      <c r="E121" s="315"/>
      <c r="F121" s="315"/>
      <c r="G121" s="315"/>
      <c r="H121" s="315"/>
      <c r="I121" s="311"/>
      <c r="J121" s="311"/>
      <c r="K121" s="311"/>
      <c r="L121" s="311"/>
      <c r="M121" s="311"/>
      <c r="N121" s="311"/>
      <c r="O121" s="311"/>
      <c r="P121" s="311"/>
      <c r="Q121" s="311"/>
      <c r="R121" s="311"/>
      <c r="S121" s="311"/>
      <c r="T121" s="311"/>
      <c r="U121" s="311"/>
      <c r="V121" s="311"/>
      <c r="W121" s="311"/>
      <c r="X121" s="311"/>
      <c r="Y121" s="311"/>
      <c r="Z121" s="311"/>
      <c r="AA121" s="311"/>
      <c r="AB121" s="311"/>
      <c r="AC121" s="311"/>
      <c r="AD121" s="311"/>
      <c r="AE121" s="311"/>
      <c r="AF121" s="311"/>
      <c r="AG121" s="311"/>
      <c r="AH121" s="311"/>
      <c r="AI121" s="311"/>
      <c r="AJ121" s="311"/>
      <c r="AK121" s="311"/>
      <c r="AL121" s="311"/>
      <c r="AM121" s="267"/>
    </row>
    <row r="122" spans="1:39" ht="13.5" hidden="1" customHeight="1" outlineLevel="1">
      <c r="B122" s="319"/>
      <c r="C122" s="319"/>
      <c r="D122" s="321" t="s">
        <v>473</v>
      </c>
      <c r="E122" s="315"/>
      <c r="F122" s="315"/>
      <c r="G122" s="315"/>
      <c r="H122" s="315"/>
      <c r="I122" s="311"/>
      <c r="J122" s="311"/>
      <c r="K122" s="311"/>
      <c r="L122" s="311"/>
      <c r="M122" s="311"/>
      <c r="N122" s="311"/>
      <c r="O122" s="311"/>
      <c r="P122" s="311"/>
      <c r="Q122" s="311"/>
      <c r="R122" s="311"/>
      <c r="S122" s="311"/>
      <c r="T122" s="311"/>
      <c r="U122" s="311"/>
      <c r="V122" s="311"/>
      <c r="W122" s="311"/>
      <c r="X122" s="311"/>
      <c r="Y122" s="311"/>
      <c r="Z122" s="311"/>
      <c r="AA122" s="311"/>
      <c r="AB122" s="311"/>
      <c r="AC122" s="311"/>
      <c r="AD122" s="311"/>
      <c r="AE122" s="311"/>
      <c r="AF122" s="311"/>
      <c r="AG122" s="311"/>
      <c r="AH122" s="311"/>
      <c r="AI122" s="311"/>
      <c r="AJ122" s="311"/>
      <c r="AK122" s="311"/>
      <c r="AL122" s="311"/>
      <c r="AM122" s="267"/>
    </row>
    <row r="123" spans="1:39" ht="13.5" hidden="1" customHeight="1" outlineLevel="1">
      <c r="B123" s="319"/>
      <c r="C123" s="319"/>
      <c r="D123" s="322" t="s">
        <v>474</v>
      </c>
      <c r="E123" s="315"/>
      <c r="F123" s="315"/>
      <c r="G123" s="315"/>
      <c r="H123" s="315"/>
      <c r="I123" s="311"/>
      <c r="J123" s="311"/>
      <c r="K123" s="311"/>
      <c r="L123" s="311"/>
      <c r="M123" s="311"/>
      <c r="N123" s="311"/>
      <c r="O123" s="311"/>
      <c r="P123" s="311"/>
      <c r="Q123" s="311"/>
      <c r="R123" s="311"/>
      <c r="S123" s="311"/>
      <c r="T123" s="311"/>
      <c r="U123" s="311"/>
      <c r="V123" s="311"/>
      <c r="W123" s="311"/>
      <c r="X123" s="311"/>
      <c r="Y123" s="311"/>
      <c r="Z123" s="311"/>
      <c r="AA123" s="311"/>
      <c r="AB123" s="311"/>
      <c r="AC123" s="311"/>
      <c r="AD123" s="311"/>
      <c r="AE123" s="311"/>
      <c r="AF123" s="311"/>
      <c r="AG123" s="311"/>
      <c r="AH123" s="311"/>
      <c r="AI123" s="311"/>
      <c r="AJ123" s="311"/>
      <c r="AK123" s="311"/>
      <c r="AL123" s="311"/>
      <c r="AM123" s="267"/>
    </row>
    <row r="124" spans="1:39" ht="13.5" hidden="1" customHeight="1" outlineLevel="1">
      <c r="B124" s="323"/>
      <c r="C124" s="323"/>
      <c r="D124" s="324" t="s">
        <v>475</v>
      </c>
      <c r="E124" s="315"/>
      <c r="F124" s="315"/>
      <c r="G124" s="315"/>
      <c r="H124" s="315"/>
      <c r="I124" s="311"/>
      <c r="J124" s="311"/>
      <c r="K124" s="311"/>
      <c r="L124" s="311"/>
      <c r="M124" s="311"/>
      <c r="N124" s="311"/>
      <c r="O124" s="311"/>
      <c r="P124" s="311"/>
      <c r="Q124" s="311"/>
      <c r="R124" s="311"/>
      <c r="S124" s="311"/>
      <c r="T124" s="311"/>
      <c r="U124" s="311"/>
      <c r="V124" s="311"/>
      <c r="W124" s="311"/>
      <c r="X124" s="311"/>
      <c r="Y124" s="311"/>
      <c r="Z124" s="311"/>
      <c r="AA124" s="311"/>
      <c r="AB124" s="311"/>
      <c r="AC124" s="311"/>
      <c r="AD124" s="311"/>
      <c r="AE124" s="311"/>
      <c r="AF124" s="311"/>
      <c r="AG124" s="311"/>
      <c r="AH124" s="311"/>
      <c r="AI124" s="311"/>
      <c r="AJ124" s="311"/>
      <c r="AK124" s="311"/>
      <c r="AL124" s="311"/>
      <c r="AM124" s="267"/>
    </row>
    <row r="125" spans="1:39" ht="13.5" hidden="1" customHeight="1" outlineLevel="2">
      <c r="B125" s="219" t="s">
        <v>476</v>
      </c>
      <c r="C125" s="220" t="s">
        <v>476</v>
      </c>
      <c r="D125" s="325" t="s">
        <v>477</v>
      </c>
      <c r="E125" s="326" t="s">
        <v>204</v>
      </c>
      <c r="F125" s="327" t="s">
        <v>204</v>
      </c>
      <c r="G125" s="327" t="s">
        <v>204</v>
      </c>
      <c r="H125" s="328" t="s">
        <v>204</v>
      </c>
      <c r="I125" s="329" t="str">
        <f t="shared" ref="I125:AL125" si="6">IF(ROUND(I11+I33+I35,2)&gt;=ROUND(I22-I25,2),"TAK","NIE")</f>
        <v>TAK</v>
      </c>
      <c r="J125" s="330" t="str">
        <f t="shared" si="6"/>
        <v>TAK</v>
      </c>
      <c r="K125" s="330" t="str">
        <f t="shared" si="6"/>
        <v>TAK</v>
      </c>
      <c r="L125" s="330" t="str">
        <f t="shared" si="6"/>
        <v>TAK</v>
      </c>
      <c r="M125" s="330" t="str">
        <f t="shared" si="6"/>
        <v>TAK</v>
      </c>
      <c r="N125" s="330" t="str">
        <f t="shared" si="6"/>
        <v>TAK</v>
      </c>
      <c r="O125" s="330" t="str">
        <f t="shared" si="6"/>
        <v>TAK</v>
      </c>
      <c r="P125" s="330" t="str">
        <f t="shared" si="6"/>
        <v>TAK</v>
      </c>
      <c r="Q125" s="330" t="str">
        <f t="shared" si="6"/>
        <v>TAK</v>
      </c>
      <c r="R125" s="330" t="str">
        <f t="shared" si="6"/>
        <v>TAK</v>
      </c>
      <c r="S125" s="330" t="str">
        <f t="shared" si="6"/>
        <v>TAK</v>
      </c>
      <c r="T125" s="330" t="str">
        <f t="shared" si="6"/>
        <v>TAK</v>
      </c>
      <c r="U125" s="330" t="str">
        <f t="shared" si="6"/>
        <v>TAK</v>
      </c>
      <c r="V125" s="330" t="str">
        <f t="shared" si="6"/>
        <v>TAK</v>
      </c>
      <c r="W125" s="330" t="str">
        <f t="shared" si="6"/>
        <v>TAK</v>
      </c>
      <c r="X125" s="330" t="str">
        <f t="shared" si="6"/>
        <v>TAK</v>
      </c>
      <c r="Y125" s="330" t="str">
        <f t="shared" si="6"/>
        <v>TAK</v>
      </c>
      <c r="Z125" s="330" t="str">
        <f t="shared" si="6"/>
        <v>TAK</v>
      </c>
      <c r="AA125" s="330" t="str">
        <f t="shared" si="6"/>
        <v>TAK</v>
      </c>
      <c r="AB125" s="330" t="str">
        <f t="shared" si="6"/>
        <v>TAK</v>
      </c>
      <c r="AC125" s="330" t="str">
        <f t="shared" si="6"/>
        <v>TAK</v>
      </c>
      <c r="AD125" s="330" t="str">
        <f t="shared" si="6"/>
        <v>TAK</v>
      </c>
      <c r="AE125" s="330" t="str">
        <f t="shared" si="6"/>
        <v>TAK</v>
      </c>
      <c r="AF125" s="330" t="str">
        <f t="shared" si="6"/>
        <v>TAK</v>
      </c>
      <c r="AG125" s="330" t="str">
        <f t="shared" si="6"/>
        <v>TAK</v>
      </c>
      <c r="AH125" s="330" t="str">
        <f t="shared" si="6"/>
        <v>TAK</v>
      </c>
      <c r="AI125" s="330" t="str">
        <f t="shared" si="6"/>
        <v>TAK</v>
      </c>
      <c r="AJ125" s="330" t="str">
        <f t="shared" si="6"/>
        <v>TAK</v>
      </c>
      <c r="AK125" s="330" t="str">
        <f t="shared" si="6"/>
        <v>TAK</v>
      </c>
      <c r="AL125" s="331" t="str">
        <f t="shared" si="6"/>
        <v>TAK</v>
      </c>
    </row>
    <row r="126" spans="1:39" ht="13.5" hidden="1" customHeight="1" outlineLevel="2">
      <c r="B126" s="221" t="s">
        <v>478</v>
      </c>
      <c r="C126" s="222" t="s">
        <v>478</v>
      </c>
      <c r="D126" s="332" t="s">
        <v>479</v>
      </c>
      <c r="E126" s="333" t="s">
        <v>204</v>
      </c>
      <c r="F126" s="334" t="s">
        <v>204</v>
      </c>
      <c r="G126" s="334" t="s">
        <v>204</v>
      </c>
      <c r="H126" s="335" t="s">
        <v>204</v>
      </c>
      <c r="I126" s="336" t="s">
        <v>204</v>
      </c>
      <c r="J126" s="337" t="s">
        <v>204</v>
      </c>
      <c r="K126" s="337" t="str">
        <f t="shared" ref="K126:AL126" si="7">IF(K98=0,"TAK","BŁĄD")</f>
        <v>TAK</v>
      </c>
      <c r="L126" s="337" t="str">
        <f t="shared" si="7"/>
        <v>TAK</v>
      </c>
      <c r="M126" s="337" t="str">
        <f t="shared" si="7"/>
        <v>TAK</v>
      </c>
      <c r="N126" s="337" t="str">
        <f t="shared" si="7"/>
        <v>TAK</v>
      </c>
      <c r="O126" s="337" t="str">
        <f t="shared" si="7"/>
        <v>TAK</v>
      </c>
      <c r="P126" s="337" t="str">
        <f t="shared" si="7"/>
        <v>TAK</v>
      </c>
      <c r="Q126" s="337" t="str">
        <f t="shared" si="7"/>
        <v>TAK</v>
      </c>
      <c r="R126" s="337" t="str">
        <f t="shared" si="7"/>
        <v>TAK</v>
      </c>
      <c r="S126" s="337" t="str">
        <f t="shared" si="7"/>
        <v>TAK</v>
      </c>
      <c r="T126" s="337" t="str">
        <f t="shared" si="7"/>
        <v>TAK</v>
      </c>
      <c r="U126" s="337" t="str">
        <f t="shared" si="7"/>
        <v>TAK</v>
      </c>
      <c r="V126" s="337" t="str">
        <f t="shared" si="7"/>
        <v>TAK</v>
      </c>
      <c r="W126" s="337" t="str">
        <f t="shared" si="7"/>
        <v>TAK</v>
      </c>
      <c r="X126" s="337" t="str">
        <f t="shared" si="7"/>
        <v>TAK</v>
      </c>
      <c r="Y126" s="337" t="str">
        <f t="shared" si="7"/>
        <v>TAK</v>
      </c>
      <c r="Z126" s="337" t="str">
        <f t="shared" si="7"/>
        <v>TAK</v>
      </c>
      <c r="AA126" s="337" t="str">
        <f t="shared" si="7"/>
        <v>TAK</v>
      </c>
      <c r="AB126" s="337" t="str">
        <f t="shared" si="7"/>
        <v>TAK</v>
      </c>
      <c r="AC126" s="337" t="str">
        <f t="shared" si="7"/>
        <v>TAK</v>
      </c>
      <c r="AD126" s="337" t="str">
        <f t="shared" si="7"/>
        <v>TAK</v>
      </c>
      <c r="AE126" s="337" t="str">
        <f t="shared" si="7"/>
        <v>TAK</v>
      </c>
      <c r="AF126" s="337" t="str">
        <f t="shared" si="7"/>
        <v>TAK</v>
      </c>
      <c r="AG126" s="337" t="str">
        <f t="shared" si="7"/>
        <v>TAK</v>
      </c>
      <c r="AH126" s="337" t="str">
        <f t="shared" si="7"/>
        <v>TAK</v>
      </c>
      <c r="AI126" s="337" t="str">
        <f t="shared" si="7"/>
        <v>TAK</v>
      </c>
      <c r="AJ126" s="337" t="str">
        <f t="shared" si="7"/>
        <v>TAK</v>
      </c>
      <c r="AK126" s="337" t="str">
        <f t="shared" si="7"/>
        <v>TAK</v>
      </c>
      <c r="AL126" s="338" t="str">
        <f t="shared" si="7"/>
        <v>TAK</v>
      </c>
    </row>
    <row r="127" spans="1:39" ht="13.5" hidden="1" customHeight="1" outlineLevel="1">
      <c r="B127" s="221" t="s">
        <v>480</v>
      </c>
      <c r="C127" s="222" t="s">
        <v>480</v>
      </c>
      <c r="D127" s="339" t="s">
        <v>481</v>
      </c>
      <c r="E127" s="333" t="s">
        <v>204</v>
      </c>
      <c r="F127" s="334" t="s">
        <v>204</v>
      </c>
      <c r="G127" s="334" t="s">
        <v>204</v>
      </c>
      <c r="H127" s="335" t="s">
        <v>204</v>
      </c>
      <c r="I127" s="340" t="str">
        <f t="shared" ref="I127:AL127" si="8">IF(ROUND(I10+I32-I21-I41,2)=0,"OK",ROUND(I10+I32-I21-I41,2))</f>
        <v>OK</v>
      </c>
      <c r="J127" s="341" t="str">
        <f t="shared" si="8"/>
        <v>OK</v>
      </c>
      <c r="K127" s="341" t="str">
        <f t="shared" si="8"/>
        <v>OK</v>
      </c>
      <c r="L127" s="341" t="str">
        <f t="shared" si="8"/>
        <v>OK</v>
      </c>
      <c r="M127" s="341" t="str">
        <f t="shared" si="8"/>
        <v>OK</v>
      </c>
      <c r="N127" s="341" t="str">
        <f t="shared" si="8"/>
        <v>OK</v>
      </c>
      <c r="O127" s="341" t="str">
        <f t="shared" si="8"/>
        <v>OK</v>
      </c>
      <c r="P127" s="341" t="str">
        <f t="shared" si="8"/>
        <v>OK</v>
      </c>
      <c r="Q127" s="341" t="str">
        <f t="shared" si="8"/>
        <v>OK</v>
      </c>
      <c r="R127" s="341" t="str">
        <f t="shared" si="8"/>
        <v>OK</v>
      </c>
      <c r="S127" s="341" t="str">
        <f t="shared" si="8"/>
        <v>OK</v>
      </c>
      <c r="T127" s="341" t="str">
        <f t="shared" si="8"/>
        <v>OK</v>
      </c>
      <c r="U127" s="341" t="str">
        <f t="shared" si="8"/>
        <v>OK</v>
      </c>
      <c r="V127" s="341" t="str">
        <f t="shared" si="8"/>
        <v>OK</v>
      </c>
      <c r="W127" s="341" t="str">
        <f t="shared" si="8"/>
        <v>OK</v>
      </c>
      <c r="X127" s="341" t="str">
        <f t="shared" si="8"/>
        <v>OK</v>
      </c>
      <c r="Y127" s="341" t="str">
        <f t="shared" si="8"/>
        <v>OK</v>
      </c>
      <c r="Z127" s="341" t="str">
        <f t="shared" si="8"/>
        <v>OK</v>
      </c>
      <c r="AA127" s="341" t="str">
        <f t="shared" si="8"/>
        <v>OK</v>
      </c>
      <c r="AB127" s="341" t="str">
        <f t="shared" si="8"/>
        <v>OK</v>
      </c>
      <c r="AC127" s="341" t="str">
        <f t="shared" si="8"/>
        <v>OK</v>
      </c>
      <c r="AD127" s="341" t="str">
        <f t="shared" si="8"/>
        <v>OK</v>
      </c>
      <c r="AE127" s="341" t="str">
        <f t="shared" si="8"/>
        <v>OK</v>
      </c>
      <c r="AF127" s="341" t="str">
        <f t="shared" si="8"/>
        <v>OK</v>
      </c>
      <c r="AG127" s="341" t="str">
        <f t="shared" si="8"/>
        <v>OK</v>
      </c>
      <c r="AH127" s="341" t="str">
        <f t="shared" si="8"/>
        <v>OK</v>
      </c>
      <c r="AI127" s="341" t="str">
        <f t="shared" si="8"/>
        <v>OK</v>
      </c>
      <c r="AJ127" s="341" t="str">
        <f t="shared" si="8"/>
        <v>OK</v>
      </c>
      <c r="AK127" s="341" t="str">
        <f t="shared" si="8"/>
        <v>OK</v>
      </c>
      <c r="AL127" s="342" t="str">
        <f t="shared" si="8"/>
        <v>OK</v>
      </c>
    </row>
    <row r="128" spans="1:39" ht="13.5" hidden="1" customHeight="1" outlineLevel="2">
      <c r="B128" s="223" t="s">
        <v>482</v>
      </c>
      <c r="C128" s="224" t="s">
        <v>482</v>
      </c>
      <c r="D128" s="339" t="s">
        <v>483</v>
      </c>
      <c r="E128" s="333" t="s">
        <v>204</v>
      </c>
      <c r="F128" s="334" t="s">
        <v>204</v>
      </c>
      <c r="G128" s="334" t="s">
        <v>204</v>
      </c>
      <c r="H128" s="335" t="s">
        <v>204</v>
      </c>
      <c r="I128" s="340" t="str">
        <f t="shared" ref="I128:AL128" si="9">+IF(ROUND(H48+I37-I42+(I105-H105)+I110-I48,2)=0,"OK",ROUND(H48+I37-I42+(I105-H105)+I110-I48,2))</f>
        <v>OK</v>
      </c>
      <c r="J128" s="341" t="str">
        <f t="shared" si="9"/>
        <v>OK</v>
      </c>
      <c r="K128" s="341" t="str">
        <f t="shared" si="9"/>
        <v>OK</v>
      </c>
      <c r="L128" s="341" t="str">
        <f t="shared" si="9"/>
        <v>OK</v>
      </c>
      <c r="M128" s="341" t="str">
        <f t="shared" si="9"/>
        <v>OK</v>
      </c>
      <c r="N128" s="341" t="str">
        <f t="shared" si="9"/>
        <v>OK</v>
      </c>
      <c r="O128" s="341" t="str">
        <f t="shared" si="9"/>
        <v>OK</v>
      </c>
      <c r="P128" s="341" t="str">
        <f t="shared" si="9"/>
        <v>OK</v>
      </c>
      <c r="Q128" s="341" t="str">
        <f t="shared" si="9"/>
        <v>OK</v>
      </c>
      <c r="R128" s="341" t="str">
        <f t="shared" si="9"/>
        <v>OK</v>
      </c>
      <c r="S128" s="341" t="str">
        <f t="shared" si="9"/>
        <v>OK</v>
      </c>
      <c r="T128" s="341" t="str">
        <f t="shared" si="9"/>
        <v>OK</v>
      </c>
      <c r="U128" s="341" t="str">
        <f t="shared" si="9"/>
        <v>OK</v>
      </c>
      <c r="V128" s="341" t="str">
        <f t="shared" si="9"/>
        <v>OK</v>
      </c>
      <c r="W128" s="341" t="str">
        <f t="shared" si="9"/>
        <v>OK</v>
      </c>
      <c r="X128" s="341" t="str">
        <f t="shared" si="9"/>
        <v>OK</v>
      </c>
      <c r="Y128" s="341" t="str">
        <f t="shared" si="9"/>
        <v>OK</v>
      </c>
      <c r="Z128" s="341" t="str">
        <f t="shared" si="9"/>
        <v>OK</v>
      </c>
      <c r="AA128" s="341" t="str">
        <f t="shared" si="9"/>
        <v>OK</v>
      </c>
      <c r="AB128" s="341" t="str">
        <f t="shared" si="9"/>
        <v>OK</v>
      </c>
      <c r="AC128" s="341" t="str">
        <f t="shared" si="9"/>
        <v>OK</v>
      </c>
      <c r="AD128" s="341" t="str">
        <f t="shared" si="9"/>
        <v>OK</v>
      </c>
      <c r="AE128" s="341" t="str">
        <f t="shared" si="9"/>
        <v>OK</v>
      </c>
      <c r="AF128" s="341" t="str">
        <f t="shared" si="9"/>
        <v>OK</v>
      </c>
      <c r="AG128" s="341" t="str">
        <f t="shared" si="9"/>
        <v>OK</v>
      </c>
      <c r="AH128" s="341" t="str">
        <f t="shared" si="9"/>
        <v>OK</v>
      </c>
      <c r="AI128" s="341" t="str">
        <f t="shared" si="9"/>
        <v>OK</v>
      </c>
      <c r="AJ128" s="341" t="str">
        <f t="shared" si="9"/>
        <v>OK</v>
      </c>
      <c r="AK128" s="341" t="str">
        <f t="shared" si="9"/>
        <v>OK</v>
      </c>
      <c r="AL128" s="342" t="str">
        <f t="shared" si="9"/>
        <v>OK</v>
      </c>
    </row>
    <row r="129" spans="2:38" ht="13.5" hidden="1" customHeight="1" outlineLevel="2">
      <c r="B129" s="223" t="s">
        <v>484</v>
      </c>
      <c r="C129" s="224" t="s">
        <v>484</v>
      </c>
      <c r="D129" s="339" t="s">
        <v>485</v>
      </c>
      <c r="E129" s="343" t="s">
        <v>204</v>
      </c>
      <c r="F129" s="334" t="s">
        <v>204</v>
      </c>
      <c r="G129" s="334" t="s">
        <v>204</v>
      </c>
      <c r="H129" s="335" t="s">
        <v>204</v>
      </c>
      <c r="I129" s="341" t="str">
        <f t="shared" ref="I129:AL129" si="10">+IF(H105=0,"N/D",IF(ROUND(I105+I106-H105,2)=0,"OK",ROUND(I105+I106-H105,2)))</f>
        <v>OK</v>
      </c>
      <c r="J129" s="341" t="str">
        <f t="shared" si="10"/>
        <v>OK</v>
      </c>
      <c r="K129" s="341" t="str">
        <f t="shared" si="10"/>
        <v>OK</v>
      </c>
      <c r="L129" s="341" t="str">
        <f t="shared" si="10"/>
        <v>OK</v>
      </c>
      <c r="M129" s="341" t="str">
        <f t="shared" si="10"/>
        <v>OK</v>
      </c>
      <c r="N129" s="341" t="str">
        <f t="shared" si="10"/>
        <v>N/D</v>
      </c>
      <c r="O129" s="341" t="str">
        <f t="shared" si="10"/>
        <v>N/D</v>
      </c>
      <c r="P129" s="341" t="str">
        <f t="shared" si="10"/>
        <v>N/D</v>
      </c>
      <c r="Q129" s="341" t="str">
        <f t="shared" si="10"/>
        <v>N/D</v>
      </c>
      <c r="R129" s="341" t="str">
        <f t="shared" si="10"/>
        <v>N/D</v>
      </c>
      <c r="S129" s="341" t="str">
        <f t="shared" si="10"/>
        <v>N/D</v>
      </c>
      <c r="T129" s="341" t="str">
        <f t="shared" si="10"/>
        <v>N/D</v>
      </c>
      <c r="U129" s="341" t="str">
        <f t="shared" si="10"/>
        <v>N/D</v>
      </c>
      <c r="V129" s="341" t="str">
        <f t="shared" si="10"/>
        <v>N/D</v>
      </c>
      <c r="W129" s="341" t="str">
        <f t="shared" si="10"/>
        <v>N/D</v>
      </c>
      <c r="X129" s="341" t="str">
        <f t="shared" si="10"/>
        <v>N/D</v>
      </c>
      <c r="Y129" s="341" t="str">
        <f t="shared" si="10"/>
        <v>N/D</v>
      </c>
      <c r="Z129" s="341" t="str">
        <f t="shared" si="10"/>
        <v>N/D</v>
      </c>
      <c r="AA129" s="341" t="str">
        <f t="shared" si="10"/>
        <v>N/D</v>
      </c>
      <c r="AB129" s="341" t="str">
        <f t="shared" si="10"/>
        <v>N/D</v>
      </c>
      <c r="AC129" s="341" t="str">
        <f t="shared" si="10"/>
        <v>N/D</v>
      </c>
      <c r="AD129" s="341" t="str">
        <f t="shared" si="10"/>
        <v>N/D</v>
      </c>
      <c r="AE129" s="341" t="str">
        <f t="shared" si="10"/>
        <v>N/D</v>
      </c>
      <c r="AF129" s="341" t="str">
        <f t="shared" si="10"/>
        <v>N/D</v>
      </c>
      <c r="AG129" s="341" t="str">
        <f t="shared" si="10"/>
        <v>N/D</v>
      </c>
      <c r="AH129" s="341" t="str">
        <f t="shared" si="10"/>
        <v>N/D</v>
      </c>
      <c r="AI129" s="341" t="str">
        <f t="shared" si="10"/>
        <v>N/D</v>
      </c>
      <c r="AJ129" s="341" t="str">
        <f t="shared" si="10"/>
        <v>N/D</v>
      </c>
      <c r="AK129" s="341" t="str">
        <f t="shared" si="10"/>
        <v>N/D</v>
      </c>
      <c r="AL129" s="342" t="str">
        <f t="shared" si="10"/>
        <v>N/D</v>
      </c>
    </row>
    <row r="130" spans="2:38" ht="13.5" hidden="1" customHeight="1" outlineLevel="2">
      <c r="B130" s="223" t="s">
        <v>486</v>
      </c>
      <c r="C130" s="224" t="s">
        <v>486</v>
      </c>
      <c r="D130" s="339" t="s">
        <v>487</v>
      </c>
      <c r="E130" s="333" t="s">
        <v>204</v>
      </c>
      <c r="F130" s="334" t="s">
        <v>204</v>
      </c>
      <c r="G130" s="334" t="s">
        <v>204</v>
      </c>
      <c r="H130" s="335" t="s">
        <v>204</v>
      </c>
      <c r="I130" s="340" t="str">
        <f t="shared" ref="I130:AL130" si="11">+IF(H96=0,"N/D",IF(ROUND(I96+(I98+I99+I100+I101)-H96,2)=0,"OK",ROUND(I96+(I98+I99+I100+I101)-H96,2)))</f>
        <v>N/D</v>
      </c>
      <c r="J130" s="341" t="str">
        <f t="shared" si="11"/>
        <v>N/D</v>
      </c>
      <c r="K130" s="341" t="str">
        <f t="shared" si="11"/>
        <v>N/D</v>
      </c>
      <c r="L130" s="341" t="str">
        <f t="shared" si="11"/>
        <v>N/D</v>
      </c>
      <c r="M130" s="341" t="str">
        <f t="shared" si="11"/>
        <v>N/D</v>
      </c>
      <c r="N130" s="341" t="str">
        <f t="shared" si="11"/>
        <v>N/D</v>
      </c>
      <c r="O130" s="341" t="str">
        <f t="shared" si="11"/>
        <v>N/D</v>
      </c>
      <c r="P130" s="341" t="str">
        <f t="shared" si="11"/>
        <v>N/D</v>
      </c>
      <c r="Q130" s="341" t="str">
        <f t="shared" si="11"/>
        <v>N/D</v>
      </c>
      <c r="R130" s="341" t="str">
        <f t="shared" si="11"/>
        <v>N/D</v>
      </c>
      <c r="S130" s="341" t="str">
        <f t="shared" si="11"/>
        <v>N/D</v>
      </c>
      <c r="T130" s="341" t="str">
        <f t="shared" si="11"/>
        <v>N/D</v>
      </c>
      <c r="U130" s="341" t="str">
        <f t="shared" si="11"/>
        <v>N/D</v>
      </c>
      <c r="V130" s="341" t="str">
        <f t="shared" si="11"/>
        <v>N/D</v>
      </c>
      <c r="W130" s="341" t="str">
        <f t="shared" si="11"/>
        <v>N/D</v>
      </c>
      <c r="X130" s="341" t="str">
        <f t="shared" si="11"/>
        <v>N/D</v>
      </c>
      <c r="Y130" s="341" t="str">
        <f t="shared" si="11"/>
        <v>N/D</v>
      </c>
      <c r="Z130" s="341" t="str">
        <f t="shared" si="11"/>
        <v>N/D</v>
      </c>
      <c r="AA130" s="341" t="str">
        <f t="shared" si="11"/>
        <v>N/D</v>
      </c>
      <c r="AB130" s="341" t="str">
        <f t="shared" si="11"/>
        <v>N/D</v>
      </c>
      <c r="AC130" s="341" t="str">
        <f t="shared" si="11"/>
        <v>N/D</v>
      </c>
      <c r="AD130" s="341" t="str">
        <f t="shared" si="11"/>
        <v>N/D</v>
      </c>
      <c r="AE130" s="341" t="str">
        <f t="shared" si="11"/>
        <v>N/D</v>
      </c>
      <c r="AF130" s="341" t="str">
        <f t="shared" si="11"/>
        <v>N/D</v>
      </c>
      <c r="AG130" s="341" t="str">
        <f t="shared" si="11"/>
        <v>N/D</v>
      </c>
      <c r="AH130" s="341" t="str">
        <f t="shared" si="11"/>
        <v>N/D</v>
      </c>
      <c r="AI130" s="341" t="str">
        <f t="shared" si="11"/>
        <v>N/D</v>
      </c>
      <c r="AJ130" s="341" t="str">
        <f t="shared" si="11"/>
        <v>N/D</v>
      </c>
      <c r="AK130" s="341" t="str">
        <f t="shared" si="11"/>
        <v>N/D</v>
      </c>
      <c r="AL130" s="342" t="str">
        <f t="shared" si="11"/>
        <v>N/D</v>
      </c>
    </row>
    <row r="131" spans="2:38" ht="13.5" hidden="1" customHeight="1" outlineLevel="1">
      <c r="B131" s="221" t="s">
        <v>488</v>
      </c>
      <c r="C131" s="222" t="s">
        <v>488</v>
      </c>
      <c r="D131" s="344" t="s">
        <v>489</v>
      </c>
      <c r="E131" s="333" t="s">
        <v>204</v>
      </c>
      <c r="F131" s="334" t="s">
        <v>204</v>
      </c>
      <c r="G131" s="334" t="s">
        <v>204</v>
      </c>
      <c r="H131" s="335" t="s">
        <v>204</v>
      </c>
      <c r="I131" s="345" t="str">
        <f t="shared" ref="I131:AL131" si="12">IF(I31&lt;0,IF(ROUND(I34+I36+I38+I40+I31,2)=0,"OK",ROUND(I34+I36+I38+I40+I31,2)),"N/D")</f>
        <v>N/D</v>
      </c>
      <c r="J131" s="346" t="str">
        <f t="shared" si="12"/>
        <v>N/D</v>
      </c>
      <c r="K131" s="346" t="str">
        <f t="shared" si="12"/>
        <v>N/D</v>
      </c>
      <c r="L131" s="346" t="str">
        <f t="shared" si="12"/>
        <v>N/D</v>
      </c>
      <c r="M131" s="346" t="str">
        <f t="shared" si="12"/>
        <v>N/D</v>
      </c>
      <c r="N131" s="346" t="str">
        <f t="shared" si="12"/>
        <v>N/D</v>
      </c>
      <c r="O131" s="346" t="str">
        <f t="shared" si="12"/>
        <v>N/D</v>
      </c>
      <c r="P131" s="346" t="str">
        <f t="shared" si="12"/>
        <v>N/D</v>
      </c>
      <c r="Q131" s="346" t="str">
        <f t="shared" si="12"/>
        <v>N/D</v>
      </c>
      <c r="R131" s="346" t="str">
        <f t="shared" si="12"/>
        <v>N/D</v>
      </c>
      <c r="S131" s="346" t="str">
        <f t="shared" si="12"/>
        <v>N/D</v>
      </c>
      <c r="T131" s="346" t="str">
        <f t="shared" si="12"/>
        <v>N/D</v>
      </c>
      <c r="U131" s="346" t="str">
        <f t="shared" si="12"/>
        <v>N/D</v>
      </c>
      <c r="V131" s="346" t="str">
        <f t="shared" si="12"/>
        <v>N/D</v>
      </c>
      <c r="W131" s="346" t="str">
        <f t="shared" si="12"/>
        <v>N/D</v>
      </c>
      <c r="X131" s="346" t="str">
        <f t="shared" si="12"/>
        <v>N/D</v>
      </c>
      <c r="Y131" s="346" t="str">
        <f t="shared" si="12"/>
        <v>N/D</v>
      </c>
      <c r="Z131" s="346" t="str">
        <f t="shared" si="12"/>
        <v>N/D</v>
      </c>
      <c r="AA131" s="346" t="str">
        <f t="shared" si="12"/>
        <v>N/D</v>
      </c>
      <c r="AB131" s="346" t="str">
        <f t="shared" si="12"/>
        <v>N/D</v>
      </c>
      <c r="AC131" s="346" t="str">
        <f t="shared" si="12"/>
        <v>N/D</v>
      </c>
      <c r="AD131" s="346" t="str">
        <f t="shared" si="12"/>
        <v>N/D</v>
      </c>
      <c r="AE131" s="346" t="str">
        <f t="shared" si="12"/>
        <v>N/D</v>
      </c>
      <c r="AF131" s="346" t="str">
        <f t="shared" si="12"/>
        <v>N/D</v>
      </c>
      <c r="AG131" s="346" t="str">
        <f t="shared" si="12"/>
        <v>N/D</v>
      </c>
      <c r="AH131" s="346" t="str">
        <f t="shared" si="12"/>
        <v>N/D</v>
      </c>
      <c r="AI131" s="346" t="str">
        <f t="shared" si="12"/>
        <v>N/D</v>
      </c>
      <c r="AJ131" s="346" t="str">
        <f t="shared" si="12"/>
        <v>N/D</v>
      </c>
      <c r="AK131" s="346" t="str">
        <f t="shared" si="12"/>
        <v>N/D</v>
      </c>
      <c r="AL131" s="347" t="str">
        <f t="shared" si="12"/>
        <v>N/D</v>
      </c>
    </row>
    <row r="132" spans="2:38" ht="13.5" hidden="1" customHeight="1" outlineLevel="2">
      <c r="B132" s="221" t="s">
        <v>490</v>
      </c>
      <c r="C132" s="222" t="s">
        <v>490</v>
      </c>
      <c r="D132" s="344" t="s">
        <v>491</v>
      </c>
      <c r="E132" s="333" t="s">
        <v>204</v>
      </c>
      <c r="F132" s="334" t="s">
        <v>204</v>
      </c>
      <c r="G132" s="334" t="s">
        <v>204</v>
      </c>
      <c r="H132" s="335" t="s">
        <v>204</v>
      </c>
      <c r="I132" s="345" t="str">
        <f t="shared" ref="I132:AL132" si="13">IF(I31&gt;=0,IF(ROUND(I34+I36+I38+I40,2)=0,"OK",ROUND(I34+I36+I38+I40,2)),"N/D")</f>
        <v>OK</v>
      </c>
      <c r="J132" s="346" t="str">
        <f t="shared" si="13"/>
        <v>OK</v>
      </c>
      <c r="K132" s="346" t="str">
        <f t="shared" si="13"/>
        <v>OK</v>
      </c>
      <c r="L132" s="346" t="str">
        <f t="shared" si="13"/>
        <v>OK</v>
      </c>
      <c r="M132" s="346" t="str">
        <f t="shared" si="13"/>
        <v>OK</v>
      </c>
      <c r="N132" s="346" t="str">
        <f t="shared" si="13"/>
        <v>OK</v>
      </c>
      <c r="O132" s="346" t="str">
        <f t="shared" si="13"/>
        <v>OK</v>
      </c>
      <c r="P132" s="346" t="str">
        <f t="shared" si="13"/>
        <v>OK</v>
      </c>
      <c r="Q132" s="346" t="str">
        <f t="shared" si="13"/>
        <v>OK</v>
      </c>
      <c r="R132" s="346" t="str">
        <f t="shared" si="13"/>
        <v>OK</v>
      </c>
      <c r="S132" s="346" t="str">
        <f t="shared" si="13"/>
        <v>OK</v>
      </c>
      <c r="T132" s="346" t="str">
        <f t="shared" si="13"/>
        <v>OK</v>
      </c>
      <c r="U132" s="346" t="str">
        <f t="shared" si="13"/>
        <v>OK</v>
      </c>
      <c r="V132" s="346" t="str">
        <f t="shared" si="13"/>
        <v>OK</v>
      </c>
      <c r="W132" s="346" t="str">
        <f t="shared" si="13"/>
        <v>OK</v>
      </c>
      <c r="X132" s="346" t="str">
        <f t="shared" si="13"/>
        <v>OK</v>
      </c>
      <c r="Y132" s="346" t="str">
        <f t="shared" si="13"/>
        <v>OK</v>
      </c>
      <c r="Z132" s="346" t="str">
        <f t="shared" si="13"/>
        <v>OK</v>
      </c>
      <c r="AA132" s="346" t="str">
        <f t="shared" si="13"/>
        <v>OK</v>
      </c>
      <c r="AB132" s="346" t="str">
        <f t="shared" si="13"/>
        <v>OK</v>
      </c>
      <c r="AC132" s="346" t="str">
        <f t="shared" si="13"/>
        <v>OK</v>
      </c>
      <c r="AD132" s="346" t="str">
        <f t="shared" si="13"/>
        <v>OK</v>
      </c>
      <c r="AE132" s="346" t="str">
        <f t="shared" si="13"/>
        <v>OK</v>
      </c>
      <c r="AF132" s="346" t="str">
        <f t="shared" si="13"/>
        <v>OK</v>
      </c>
      <c r="AG132" s="346" t="str">
        <f t="shared" si="13"/>
        <v>OK</v>
      </c>
      <c r="AH132" s="346" t="str">
        <f t="shared" si="13"/>
        <v>OK</v>
      </c>
      <c r="AI132" s="346" t="str">
        <f t="shared" si="13"/>
        <v>OK</v>
      </c>
      <c r="AJ132" s="346" t="str">
        <f t="shared" si="13"/>
        <v>OK</v>
      </c>
      <c r="AK132" s="346" t="str">
        <f t="shared" si="13"/>
        <v>OK</v>
      </c>
      <c r="AL132" s="347" t="str">
        <f t="shared" si="13"/>
        <v>OK</v>
      </c>
    </row>
    <row r="133" spans="2:38" ht="13.5" hidden="1" customHeight="1" outlineLevel="2">
      <c r="B133" s="221" t="s">
        <v>492</v>
      </c>
      <c r="C133" s="222" t="s">
        <v>492</v>
      </c>
      <c r="D133" s="344" t="s">
        <v>493</v>
      </c>
      <c r="E133" s="333" t="s">
        <v>204</v>
      </c>
      <c r="F133" s="334" t="s">
        <v>204</v>
      </c>
      <c r="G133" s="334" t="s">
        <v>204</v>
      </c>
      <c r="H133" s="335" t="s">
        <v>204</v>
      </c>
      <c r="I133" s="336" t="str">
        <f t="shared" ref="I133:AL133" si="14">IF(I14&gt;=I15,"OK","BŁĄD")</f>
        <v>OK</v>
      </c>
      <c r="J133" s="337" t="str">
        <f t="shared" si="14"/>
        <v>OK</v>
      </c>
      <c r="K133" s="337" t="str">
        <f t="shared" si="14"/>
        <v>OK</v>
      </c>
      <c r="L133" s="337" t="str">
        <f t="shared" si="14"/>
        <v>OK</v>
      </c>
      <c r="M133" s="337" t="str">
        <f t="shared" si="14"/>
        <v>OK</v>
      </c>
      <c r="N133" s="337" t="str">
        <f t="shared" si="14"/>
        <v>OK</v>
      </c>
      <c r="O133" s="337" t="str">
        <f t="shared" si="14"/>
        <v>OK</v>
      </c>
      <c r="P133" s="337" t="str">
        <f t="shared" si="14"/>
        <v>OK</v>
      </c>
      <c r="Q133" s="337" t="str">
        <f t="shared" si="14"/>
        <v>OK</v>
      </c>
      <c r="R133" s="337" t="str">
        <f t="shared" si="14"/>
        <v>OK</v>
      </c>
      <c r="S133" s="337" t="str">
        <f t="shared" si="14"/>
        <v>OK</v>
      </c>
      <c r="T133" s="337" t="str">
        <f t="shared" si="14"/>
        <v>OK</v>
      </c>
      <c r="U133" s="337" t="str">
        <f t="shared" si="14"/>
        <v>OK</v>
      </c>
      <c r="V133" s="337" t="str">
        <f t="shared" si="14"/>
        <v>OK</v>
      </c>
      <c r="W133" s="337" t="str">
        <f t="shared" si="14"/>
        <v>OK</v>
      </c>
      <c r="X133" s="337" t="str">
        <f t="shared" si="14"/>
        <v>OK</v>
      </c>
      <c r="Y133" s="337" t="str">
        <f t="shared" si="14"/>
        <v>OK</v>
      </c>
      <c r="Z133" s="337" t="str">
        <f t="shared" si="14"/>
        <v>OK</v>
      </c>
      <c r="AA133" s="337" t="str">
        <f t="shared" si="14"/>
        <v>OK</v>
      </c>
      <c r="AB133" s="337" t="str">
        <f t="shared" si="14"/>
        <v>OK</v>
      </c>
      <c r="AC133" s="337" t="str">
        <f t="shared" si="14"/>
        <v>OK</v>
      </c>
      <c r="AD133" s="337" t="str">
        <f t="shared" si="14"/>
        <v>OK</v>
      </c>
      <c r="AE133" s="337" t="str">
        <f t="shared" si="14"/>
        <v>OK</v>
      </c>
      <c r="AF133" s="337" t="str">
        <f t="shared" si="14"/>
        <v>OK</v>
      </c>
      <c r="AG133" s="337" t="str">
        <f t="shared" si="14"/>
        <v>OK</v>
      </c>
      <c r="AH133" s="337" t="str">
        <f t="shared" si="14"/>
        <v>OK</v>
      </c>
      <c r="AI133" s="337" t="str">
        <f t="shared" si="14"/>
        <v>OK</v>
      </c>
      <c r="AJ133" s="337" t="str">
        <f t="shared" si="14"/>
        <v>OK</v>
      </c>
      <c r="AK133" s="337" t="str">
        <f t="shared" si="14"/>
        <v>OK</v>
      </c>
      <c r="AL133" s="338" t="str">
        <f t="shared" si="14"/>
        <v>OK</v>
      </c>
    </row>
    <row r="134" spans="2:38" ht="13.5" hidden="1" customHeight="1" outlineLevel="2">
      <c r="B134" s="221" t="s">
        <v>494</v>
      </c>
      <c r="C134" s="222" t="s">
        <v>494</v>
      </c>
      <c r="D134" s="344" t="s">
        <v>495</v>
      </c>
      <c r="E134" s="333" t="s">
        <v>204</v>
      </c>
      <c r="F134" s="334" t="s">
        <v>204</v>
      </c>
      <c r="G134" s="334" t="s">
        <v>204</v>
      </c>
      <c r="H134" s="335" t="s">
        <v>204</v>
      </c>
      <c r="I134" s="336" t="str">
        <f t="shared" ref="I134:AL134" si="15">IF(I17&gt;=I97,"OK","BŁĄD")</f>
        <v>OK</v>
      </c>
      <c r="J134" s="337" t="str">
        <f t="shared" si="15"/>
        <v>OK</v>
      </c>
      <c r="K134" s="337" t="str">
        <f t="shared" si="15"/>
        <v>OK</v>
      </c>
      <c r="L134" s="337" t="str">
        <f t="shared" si="15"/>
        <v>OK</v>
      </c>
      <c r="M134" s="337" t="str">
        <f t="shared" si="15"/>
        <v>OK</v>
      </c>
      <c r="N134" s="337" t="str">
        <f t="shared" si="15"/>
        <v>OK</v>
      </c>
      <c r="O134" s="337" t="str">
        <f t="shared" si="15"/>
        <v>OK</v>
      </c>
      <c r="P134" s="337" t="str">
        <f t="shared" si="15"/>
        <v>OK</v>
      </c>
      <c r="Q134" s="337" t="str">
        <f t="shared" si="15"/>
        <v>OK</v>
      </c>
      <c r="R134" s="337" t="str">
        <f t="shared" si="15"/>
        <v>OK</v>
      </c>
      <c r="S134" s="337" t="str">
        <f t="shared" si="15"/>
        <v>OK</v>
      </c>
      <c r="T134" s="337" t="str">
        <f t="shared" si="15"/>
        <v>OK</v>
      </c>
      <c r="U134" s="337" t="str">
        <f t="shared" si="15"/>
        <v>OK</v>
      </c>
      <c r="V134" s="337" t="str">
        <f t="shared" si="15"/>
        <v>OK</v>
      </c>
      <c r="W134" s="337" t="str">
        <f t="shared" si="15"/>
        <v>OK</v>
      </c>
      <c r="X134" s="337" t="str">
        <f t="shared" si="15"/>
        <v>OK</v>
      </c>
      <c r="Y134" s="337" t="str">
        <f t="shared" si="15"/>
        <v>OK</v>
      </c>
      <c r="Z134" s="337" t="str">
        <f t="shared" si="15"/>
        <v>OK</v>
      </c>
      <c r="AA134" s="337" t="str">
        <f t="shared" si="15"/>
        <v>OK</v>
      </c>
      <c r="AB134" s="337" t="str">
        <f t="shared" si="15"/>
        <v>OK</v>
      </c>
      <c r="AC134" s="337" t="str">
        <f t="shared" si="15"/>
        <v>OK</v>
      </c>
      <c r="AD134" s="337" t="str">
        <f t="shared" si="15"/>
        <v>OK</v>
      </c>
      <c r="AE134" s="337" t="str">
        <f t="shared" si="15"/>
        <v>OK</v>
      </c>
      <c r="AF134" s="337" t="str">
        <f t="shared" si="15"/>
        <v>OK</v>
      </c>
      <c r="AG134" s="337" t="str">
        <f t="shared" si="15"/>
        <v>OK</v>
      </c>
      <c r="AH134" s="337" t="str">
        <f t="shared" si="15"/>
        <v>OK</v>
      </c>
      <c r="AI134" s="337" t="str">
        <f t="shared" si="15"/>
        <v>OK</v>
      </c>
      <c r="AJ134" s="337" t="str">
        <f t="shared" si="15"/>
        <v>OK</v>
      </c>
      <c r="AK134" s="337" t="str">
        <f t="shared" si="15"/>
        <v>OK</v>
      </c>
      <c r="AL134" s="338" t="str">
        <f t="shared" si="15"/>
        <v>OK</v>
      </c>
    </row>
    <row r="135" spans="2:38" ht="13.5" hidden="1" customHeight="1" outlineLevel="2">
      <c r="B135" s="221" t="s">
        <v>496</v>
      </c>
      <c r="C135" s="222" t="s">
        <v>496</v>
      </c>
      <c r="D135" s="344" t="s">
        <v>497</v>
      </c>
      <c r="E135" s="333" t="s">
        <v>204</v>
      </c>
      <c r="F135" s="334" t="s">
        <v>204</v>
      </c>
      <c r="G135" s="334" t="s">
        <v>204</v>
      </c>
      <c r="H135" s="335" t="s">
        <v>204</v>
      </c>
      <c r="I135" s="336" t="str">
        <f t="shared" ref="I135:AL135" si="16">IF(I11&gt;=I12+I13+I14+I16+I17,"OK","BŁĄD")</f>
        <v>OK</v>
      </c>
      <c r="J135" s="337" t="str">
        <f t="shared" si="16"/>
        <v>OK</v>
      </c>
      <c r="K135" s="337" t="str">
        <f t="shared" si="16"/>
        <v>OK</v>
      </c>
      <c r="L135" s="337" t="str">
        <f t="shared" si="16"/>
        <v>OK</v>
      </c>
      <c r="M135" s="337" t="str">
        <f t="shared" si="16"/>
        <v>OK</v>
      </c>
      <c r="N135" s="337" t="str">
        <f t="shared" si="16"/>
        <v>OK</v>
      </c>
      <c r="O135" s="337" t="str">
        <f t="shared" si="16"/>
        <v>OK</v>
      </c>
      <c r="P135" s="337" t="str">
        <f t="shared" si="16"/>
        <v>OK</v>
      </c>
      <c r="Q135" s="337" t="str">
        <f t="shared" si="16"/>
        <v>OK</v>
      </c>
      <c r="R135" s="337" t="str">
        <f t="shared" si="16"/>
        <v>OK</v>
      </c>
      <c r="S135" s="337" t="str">
        <f t="shared" si="16"/>
        <v>OK</v>
      </c>
      <c r="T135" s="337" t="str">
        <f t="shared" si="16"/>
        <v>OK</v>
      </c>
      <c r="U135" s="337" t="str">
        <f t="shared" si="16"/>
        <v>OK</v>
      </c>
      <c r="V135" s="337" t="str">
        <f t="shared" si="16"/>
        <v>OK</v>
      </c>
      <c r="W135" s="337" t="str">
        <f t="shared" si="16"/>
        <v>OK</v>
      </c>
      <c r="X135" s="337" t="str">
        <f t="shared" si="16"/>
        <v>OK</v>
      </c>
      <c r="Y135" s="337" t="str">
        <f t="shared" si="16"/>
        <v>OK</v>
      </c>
      <c r="Z135" s="337" t="str">
        <f t="shared" si="16"/>
        <v>OK</v>
      </c>
      <c r="AA135" s="337" t="str">
        <f t="shared" si="16"/>
        <v>OK</v>
      </c>
      <c r="AB135" s="337" t="str">
        <f t="shared" si="16"/>
        <v>OK</v>
      </c>
      <c r="AC135" s="337" t="str">
        <f t="shared" si="16"/>
        <v>OK</v>
      </c>
      <c r="AD135" s="337" t="str">
        <f t="shared" si="16"/>
        <v>OK</v>
      </c>
      <c r="AE135" s="337" t="str">
        <f t="shared" si="16"/>
        <v>OK</v>
      </c>
      <c r="AF135" s="337" t="str">
        <f t="shared" si="16"/>
        <v>OK</v>
      </c>
      <c r="AG135" s="337" t="str">
        <f t="shared" si="16"/>
        <v>OK</v>
      </c>
      <c r="AH135" s="337" t="str">
        <f t="shared" si="16"/>
        <v>OK</v>
      </c>
      <c r="AI135" s="337" t="str">
        <f t="shared" si="16"/>
        <v>OK</v>
      </c>
      <c r="AJ135" s="337" t="str">
        <f t="shared" si="16"/>
        <v>OK</v>
      </c>
      <c r="AK135" s="337" t="str">
        <f t="shared" si="16"/>
        <v>OK</v>
      </c>
      <c r="AL135" s="338" t="str">
        <f t="shared" si="16"/>
        <v>OK</v>
      </c>
    </row>
    <row r="136" spans="2:38" ht="13.5" hidden="1" customHeight="1" outlineLevel="2">
      <c r="B136" s="221" t="s">
        <v>498</v>
      </c>
      <c r="C136" s="222" t="s">
        <v>498</v>
      </c>
      <c r="D136" s="344" t="s">
        <v>499</v>
      </c>
      <c r="E136" s="333" t="s">
        <v>204</v>
      </c>
      <c r="F136" s="334" t="s">
        <v>204</v>
      </c>
      <c r="G136" s="334" t="s">
        <v>204</v>
      </c>
      <c r="H136" s="335" t="s">
        <v>204</v>
      </c>
      <c r="I136" s="336" t="str">
        <f t="shared" ref="I136:AL136" si="17">IF(I11&gt;=I75,"OK","BŁĄD")</f>
        <v>OK</v>
      </c>
      <c r="J136" s="337" t="str">
        <f t="shared" si="17"/>
        <v>OK</v>
      </c>
      <c r="K136" s="337" t="str">
        <f t="shared" si="17"/>
        <v>OK</v>
      </c>
      <c r="L136" s="337" t="str">
        <f t="shared" si="17"/>
        <v>OK</v>
      </c>
      <c r="M136" s="337" t="str">
        <f t="shared" si="17"/>
        <v>OK</v>
      </c>
      <c r="N136" s="337" t="str">
        <f t="shared" si="17"/>
        <v>OK</v>
      </c>
      <c r="O136" s="337" t="str">
        <f t="shared" si="17"/>
        <v>OK</v>
      </c>
      <c r="P136" s="337" t="str">
        <f t="shared" si="17"/>
        <v>OK</v>
      </c>
      <c r="Q136" s="337" t="str">
        <f t="shared" si="17"/>
        <v>OK</v>
      </c>
      <c r="R136" s="337" t="str">
        <f t="shared" si="17"/>
        <v>OK</v>
      </c>
      <c r="S136" s="337" t="str">
        <f t="shared" si="17"/>
        <v>OK</v>
      </c>
      <c r="T136" s="337" t="str">
        <f t="shared" si="17"/>
        <v>OK</v>
      </c>
      <c r="U136" s="337" t="str">
        <f t="shared" si="17"/>
        <v>OK</v>
      </c>
      <c r="V136" s="337" t="str">
        <f t="shared" si="17"/>
        <v>OK</v>
      </c>
      <c r="W136" s="337" t="str">
        <f t="shared" si="17"/>
        <v>OK</v>
      </c>
      <c r="X136" s="337" t="str">
        <f t="shared" si="17"/>
        <v>OK</v>
      </c>
      <c r="Y136" s="337" t="str">
        <f t="shared" si="17"/>
        <v>OK</v>
      </c>
      <c r="Z136" s="337" t="str">
        <f t="shared" si="17"/>
        <v>OK</v>
      </c>
      <c r="AA136" s="337" t="str">
        <f t="shared" si="17"/>
        <v>OK</v>
      </c>
      <c r="AB136" s="337" t="str">
        <f t="shared" si="17"/>
        <v>OK</v>
      </c>
      <c r="AC136" s="337" t="str">
        <f t="shared" si="17"/>
        <v>OK</v>
      </c>
      <c r="AD136" s="337" t="str">
        <f t="shared" si="17"/>
        <v>OK</v>
      </c>
      <c r="AE136" s="337" t="str">
        <f t="shared" si="17"/>
        <v>OK</v>
      </c>
      <c r="AF136" s="337" t="str">
        <f t="shared" si="17"/>
        <v>OK</v>
      </c>
      <c r="AG136" s="337" t="str">
        <f t="shared" si="17"/>
        <v>OK</v>
      </c>
      <c r="AH136" s="337" t="str">
        <f t="shared" si="17"/>
        <v>OK</v>
      </c>
      <c r="AI136" s="337" t="str">
        <f t="shared" si="17"/>
        <v>OK</v>
      </c>
      <c r="AJ136" s="337" t="str">
        <f t="shared" si="17"/>
        <v>OK</v>
      </c>
      <c r="AK136" s="337" t="str">
        <f t="shared" si="17"/>
        <v>OK</v>
      </c>
      <c r="AL136" s="338" t="str">
        <f t="shared" si="17"/>
        <v>OK</v>
      </c>
    </row>
    <row r="137" spans="2:38" ht="13.5" hidden="1" customHeight="1" outlineLevel="2">
      <c r="B137" s="221" t="s">
        <v>500</v>
      </c>
      <c r="C137" s="222" t="s">
        <v>500</v>
      </c>
      <c r="D137" s="344" t="s">
        <v>501</v>
      </c>
      <c r="E137" s="333" t="s">
        <v>204</v>
      </c>
      <c r="F137" s="334" t="s">
        <v>204</v>
      </c>
      <c r="G137" s="334" t="s">
        <v>204</v>
      </c>
      <c r="H137" s="335" t="s">
        <v>204</v>
      </c>
      <c r="I137" s="336" t="str">
        <f t="shared" ref="I137:AL137" si="18">IF(I18&gt;=I19,"OK","BŁĄD")</f>
        <v>OK</v>
      </c>
      <c r="J137" s="337" t="str">
        <f t="shared" si="18"/>
        <v>OK</v>
      </c>
      <c r="K137" s="337" t="str">
        <f t="shared" si="18"/>
        <v>OK</v>
      </c>
      <c r="L137" s="337" t="str">
        <f t="shared" si="18"/>
        <v>OK</v>
      </c>
      <c r="M137" s="337" t="str">
        <f t="shared" si="18"/>
        <v>OK</v>
      </c>
      <c r="N137" s="337" t="str">
        <f t="shared" si="18"/>
        <v>OK</v>
      </c>
      <c r="O137" s="337" t="str">
        <f t="shared" si="18"/>
        <v>OK</v>
      </c>
      <c r="P137" s="337" t="str">
        <f t="shared" si="18"/>
        <v>OK</v>
      </c>
      <c r="Q137" s="337" t="str">
        <f t="shared" si="18"/>
        <v>OK</v>
      </c>
      <c r="R137" s="337" t="str">
        <f t="shared" si="18"/>
        <v>OK</v>
      </c>
      <c r="S137" s="337" t="str">
        <f t="shared" si="18"/>
        <v>OK</v>
      </c>
      <c r="T137" s="337" t="str">
        <f t="shared" si="18"/>
        <v>OK</v>
      </c>
      <c r="U137" s="337" t="str">
        <f t="shared" si="18"/>
        <v>OK</v>
      </c>
      <c r="V137" s="337" t="str">
        <f t="shared" si="18"/>
        <v>OK</v>
      </c>
      <c r="W137" s="337" t="str">
        <f t="shared" si="18"/>
        <v>OK</v>
      </c>
      <c r="X137" s="337" t="str">
        <f t="shared" si="18"/>
        <v>OK</v>
      </c>
      <c r="Y137" s="337" t="str">
        <f t="shared" si="18"/>
        <v>OK</v>
      </c>
      <c r="Z137" s="337" t="str">
        <f t="shared" si="18"/>
        <v>OK</v>
      </c>
      <c r="AA137" s="337" t="str">
        <f t="shared" si="18"/>
        <v>OK</v>
      </c>
      <c r="AB137" s="337" t="str">
        <f t="shared" si="18"/>
        <v>OK</v>
      </c>
      <c r="AC137" s="337" t="str">
        <f t="shared" si="18"/>
        <v>OK</v>
      </c>
      <c r="AD137" s="337" t="str">
        <f t="shared" si="18"/>
        <v>OK</v>
      </c>
      <c r="AE137" s="337" t="str">
        <f t="shared" si="18"/>
        <v>OK</v>
      </c>
      <c r="AF137" s="337" t="str">
        <f t="shared" si="18"/>
        <v>OK</v>
      </c>
      <c r="AG137" s="337" t="str">
        <f t="shared" si="18"/>
        <v>OK</v>
      </c>
      <c r="AH137" s="337" t="str">
        <f t="shared" si="18"/>
        <v>OK</v>
      </c>
      <c r="AI137" s="337" t="str">
        <f t="shared" si="18"/>
        <v>OK</v>
      </c>
      <c r="AJ137" s="337" t="str">
        <f t="shared" si="18"/>
        <v>OK</v>
      </c>
      <c r="AK137" s="337" t="str">
        <f t="shared" si="18"/>
        <v>OK</v>
      </c>
      <c r="AL137" s="338" t="str">
        <f t="shared" si="18"/>
        <v>OK</v>
      </c>
    </row>
    <row r="138" spans="2:38" ht="13.5" hidden="1" customHeight="1" outlineLevel="2">
      <c r="B138" s="221" t="s">
        <v>502</v>
      </c>
      <c r="C138" s="222" t="s">
        <v>502</v>
      </c>
      <c r="D138" s="344" t="s">
        <v>503</v>
      </c>
      <c r="E138" s="333" t="s">
        <v>204</v>
      </c>
      <c r="F138" s="334" t="s">
        <v>204</v>
      </c>
      <c r="G138" s="334" t="s">
        <v>204</v>
      </c>
      <c r="H138" s="335" t="s">
        <v>204</v>
      </c>
      <c r="I138" s="336" t="str">
        <f t="shared" ref="I138:AL138" si="19">IF(I18&gt;=I20,"OK","BŁĄD")</f>
        <v>OK</v>
      </c>
      <c r="J138" s="337" t="str">
        <f t="shared" si="19"/>
        <v>OK</v>
      </c>
      <c r="K138" s="337" t="str">
        <f t="shared" si="19"/>
        <v>OK</v>
      </c>
      <c r="L138" s="337" t="str">
        <f t="shared" si="19"/>
        <v>OK</v>
      </c>
      <c r="M138" s="337" t="str">
        <f t="shared" si="19"/>
        <v>OK</v>
      </c>
      <c r="N138" s="337" t="str">
        <f t="shared" si="19"/>
        <v>OK</v>
      </c>
      <c r="O138" s="337" t="str">
        <f t="shared" si="19"/>
        <v>OK</v>
      </c>
      <c r="P138" s="337" t="str">
        <f t="shared" si="19"/>
        <v>OK</v>
      </c>
      <c r="Q138" s="337" t="str">
        <f t="shared" si="19"/>
        <v>OK</v>
      </c>
      <c r="R138" s="337" t="str">
        <f t="shared" si="19"/>
        <v>OK</v>
      </c>
      <c r="S138" s="337" t="str">
        <f t="shared" si="19"/>
        <v>OK</v>
      </c>
      <c r="T138" s="337" t="str">
        <f t="shared" si="19"/>
        <v>OK</v>
      </c>
      <c r="U138" s="337" t="str">
        <f t="shared" si="19"/>
        <v>OK</v>
      </c>
      <c r="V138" s="337" t="str">
        <f t="shared" si="19"/>
        <v>OK</v>
      </c>
      <c r="W138" s="337" t="str">
        <f t="shared" si="19"/>
        <v>OK</v>
      </c>
      <c r="X138" s="337" t="str">
        <f t="shared" si="19"/>
        <v>OK</v>
      </c>
      <c r="Y138" s="337" t="str">
        <f t="shared" si="19"/>
        <v>OK</v>
      </c>
      <c r="Z138" s="337" t="str">
        <f t="shared" si="19"/>
        <v>OK</v>
      </c>
      <c r="AA138" s="337" t="str">
        <f t="shared" si="19"/>
        <v>OK</v>
      </c>
      <c r="AB138" s="337" t="str">
        <f t="shared" si="19"/>
        <v>OK</v>
      </c>
      <c r="AC138" s="337" t="str">
        <f t="shared" si="19"/>
        <v>OK</v>
      </c>
      <c r="AD138" s="337" t="str">
        <f t="shared" si="19"/>
        <v>OK</v>
      </c>
      <c r="AE138" s="337" t="str">
        <f t="shared" si="19"/>
        <v>OK</v>
      </c>
      <c r="AF138" s="337" t="str">
        <f t="shared" si="19"/>
        <v>OK</v>
      </c>
      <c r="AG138" s="337" t="str">
        <f t="shared" si="19"/>
        <v>OK</v>
      </c>
      <c r="AH138" s="337" t="str">
        <f t="shared" si="19"/>
        <v>OK</v>
      </c>
      <c r="AI138" s="337" t="str">
        <f t="shared" si="19"/>
        <v>OK</v>
      </c>
      <c r="AJ138" s="337" t="str">
        <f t="shared" si="19"/>
        <v>OK</v>
      </c>
      <c r="AK138" s="337" t="str">
        <f t="shared" si="19"/>
        <v>OK</v>
      </c>
      <c r="AL138" s="338" t="str">
        <f t="shared" si="19"/>
        <v>OK</v>
      </c>
    </row>
    <row r="139" spans="2:38" ht="13.5" hidden="1" customHeight="1" outlineLevel="2">
      <c r="B139" s="221" t="s">
        <v>504</v>
      </c>
      <c r="C139" s="222" t="s">
        <v>504</v>
      </c>
      <c r="D139" s="344" t="s">
        <v>505</v>
      </c>
      <c r="E139" s="333" t="s">
        <v>204</v>
      </c>
      <c r="F139" s="334" t="s">
        <v>204</v>
      </c>
      <c r="G139" s="334" t="s">
        <v>204</v>
      </c>
      <c r="H139" s="335" t="s">
        <v>204</v>
      </c>
      <c r="I139" s="336" t="str">
        <f t="shared" ref="I139:AL139" si="20">IF(I18&gt;=I78,"OK","BŁĄD")</f>
        <v>OK</v>
      </c>
      <c r="J139" s="337" t="str">
        <f t="shared" si="20"/>
        <v>OK</v>
      </c>
      <c r="K139" s="337" t="str">
        <f t="shared" si="20"/>
        <v>OK</v>
      </c>
      <c r="L139" s="337" t="str">
        <f t="shared" si="20"/>
        <v>OK</v>
      </c>
      <c r="M139" s="337" t="str">
        <f t="shared" si="20"/>
        <v>OK</v>
      </c>
      <c r="N139" s="337" t="str">
        <f t="shared" si="20"/>
        <v>OK</v>
      </c>
      <c r="O139" s="337" t="str">
        <f t="shared" si="20"/>
        <v>OK</v>
      </c>
      <c r="P139" s="337" t="str">
        <f t="shared" si="20"/>
        <v>OK</v>
      </c>
      <c r="Q139" s="337" t="str">
        <f t="shared" si="20"/>
        <v>OK</v>
      </c>
      <c r="R139" s="337" t="str">
        <f t="shared" si="20"/>
        <v>OK</v>
      </c>
      <c r="S139" s="337" t="str">
        <f t="shared" si="20"/>
        <v>OK</v>
      </c>
      <c r="T139" s="337" t="str">
        <f t="shared" si="20"/>
        <v>OK</v>
      </c>
      <c r="U139" s="337" t="str">
        <f t="shared" si="20"/>
        <v>OK</v>
      </c>
      <c r="V139" s="337" t="str">
        <f t="shared" si="20"/>
        <v>OK</v>
      </c>
      <c r="W139" s="337" t="str">
        <f t="shared" si="20"/>
        <v>OK</v>
      </c>
      <c r="X139" s="337" t="str">
        <f t="shared" si="20"/>
        <v>OK</v>
      </c>
      <c r="Y139" s="337" t="str">
        <f t="shared" si="20"/>
        <v>OK</v>
      </c>
      <c r="Z139" s="337" t="str">
        <f t="shared" si="20"/>
        <v>OK</v>
      </c>
      <c r="AA139" s="337" t="str">
        <f t="shared" si="20"/>
        <v>OK</v>
      </c>
      <c r="AB139" s="337" t="str">
        <f t="shared" si="20"/>
        <v>OK</v>
      </c>
      <c r="AC139" s="337" t="str">
        <f t="shared" si="20"/>
        <v>OK</v>
      </c>
      <c r="AD139" s="337" t="str">
        <f t="shared" si="20"/>
        <v>OK</v>
      </c>
      <c r="AE139" s="337" t="str">
        <f t="shared" si="20"/>
        <v>OK</v>
      </c>
      <c r="AF139" s="337" t="str">
        <f t="shared" si="20"/>
        <v>OK</v>
      </c>
      <c r="AG139" s="337" t="str">
        <f t="shared" si="20"/>
        <v>OK</v>
      </c>
      <c r="AH139" s="337" t="str">
        <f t="shared" si="20"/>
        <v>OK</v>
      </c>
      <c r="AI139" s="337" t="str">
        <f t="shared" si="20"/>
        <v>OK</v>
      </c>
      <c r="AJ139" s="337" t="str">
        <f t="shared" si="20"/>
        <v>OK</v>
      </c>
      <c r="AK139" s="337" t="str">
        <f t="shared" si="20"/>
        <v>OK</v>
      </c>
      <c r="AL139" s="338" t="str">
        <f t="shared" si="20"/>
        <v>OK</v>
      </c>
    </row>
    <row r="140" spans="2:38" ht="13.5" hidden="1" customHeight="1" outlineLevel="2">
      <c r="B140" s="221"/>
      <c r="C140" s="222"/>
      <c r="D140" s="344" t="s">
        <v>506</v>
      </c>
      <c r="E140" s="333" t="s">
        <v>204</v>
      </c>
      <c r="F140" s="334" t="s">
        <v>204</v>
      </c>
      <c r="G140" s="334" t="s">
        <v>204</v>
      </c>
      <c r="H140" s="335" t="s">
        <v>204</v>
      </c>
      <c r="I140" s="336" t="str">
        <f t="shared" ref="I140:AL140" si="21">+IF(I31&gt;0,IF(I31=I63,"OK","Błąd"),"N/D")</f>
        <v>OK</v>
      </c>
      <c r="J140" s="336" t="str">
        <f t="shared" si="21"/>
        <v>OK</v>
      </c>
      <c r="K140" s="336" t="str">
        <f t="shared" si="21"/>
        <v>OK</v>
      </c>
      <c r="L140" s="336" t="str">
        <f t="shared" si="21"/>
        <v>OK</v>
      </c>
      <c r="M140" s="336" t="str">
        <f t="shared" si="21"/>
        <v>OK</v>
      </c>
      <c r="N140" s="336" t="str">
        <f t="shared" si="21"/>
        <v>OK</v>
      </c>
      <c r="O140" s="336" t="str">
        <f t="shared" si="21"/>
        <v>OK</v>
      </c>
      <c r="P140" s="336" t="str">
        <f t="shared" si="21"/>
        <v>OK</v>
      </c>
      <c r="Q140" s="336" t="str">
        <f t="shared" si="21"/>
        <v>OK</v>
      </c>
      <c r="R140" s="336" t="str">
        <f t="shared" si="21"/>
        <v>OK</v>
      </c>
      <c r="S140" s="336" t="str">
        <f t="shared" si="21"/>
        <v>N/D</v>
      </c>
      <c r="T140" s="336" t="str">
        <f t="shared" si="21"/>
        <v>N/D</v>
      </c>
      <c r="U140" s="336" t="str">
        <f t="shared" si="21"/>
        <v>N/D</v>
      </c>
      <c r="V140" s="336" t="str">
        <f t="shared" si="21"/>
        <v>N/D</v>
      </c>
      <c r="W140" s="336" t="str">
        <f t="shared" si="21"/>
        <v>N/D</v>
      </c>
      <c r="X140" s="336" t="str">
        <f t="shared" si="21"/>
        <v>N/D</v>
      </c>
      <c r="Y140" s="336" t="str">
        <f t="shared" si="21"/>
        <v>N/D</v>
      </c>
      <c r="Z140" s="336" t="str">
        <f t="shared" si="21"/>
        <v>N/D</v>
      </c>
      <c r="AA140" s="336" t="str">
        <f t="shared" si="21"/>
        <v>N/D</v>
      </c>
      <c r="AB140" s="336" t="str">
        <f t="shared" si="21"/>
        <v>N/D</v>
      </c>
      <c r="AC140" s="336" t="str">
        <f t="shared" si="21"/>
        <v>N/D</v>
      </c>
      <c r="AD140" s="336" t="str">
        <f t="shared" si="21"/>
        <v>N/D</v>
      </c>
      <c r="AE140" s="336" t="str">
        <f t="shared" si="21"/>
        <v>N/D</v>
      </c>
      <c r="AF140" s="336" t="str">
        <f t="shared" si="21"/>
        <v>N/D</v>
      </c>
      <c r="AG140" s="336" t="str">
        <f t="shared" si="21"/>
        <v>N/D</v>
      </c>
      <c r="AH140" s="336" t="str">
        <f t="shared" si="21"/>
        <v>N/D</v>
      </c>
      <c r="AI140" s="336" t="str">
        <f t="shared" si="21"/>
        <v>N/D</v>
      </c>
      <c r="AJ140" s="336" t="str">
        <f t="shared" si="21"/>
        <v>N/D</v>
      </c>
      <c r="AK140" s="336" t="str">
        <f t="shared" si="21"/>
        <v>N/D</v>
      </c>
      <c r="AL140" s="336" t="str">
        <f t="shared" si="21"/>
        <v>N/D</v>
      </c>
    </row>
    <row r="141" spans="2:38" ht="13.5" hidden="1" customHeight="1" outlineLevel="2">
      <c r="B141" s="221" t="s">
        <v>507</v>
      </c>
      <c r="C141" s="222" t="s">
        <v>507</v>
      </c>
      <c r="D141" s="344" t="s">
        <v>508</v>
      </c>
      <c r="E141" s="333" t="s">
        <v>204</v>
      </c>
      <c r="F141" s="334" t="s">
        <v>204</v>
      </c>
      <c r="G141" s="334" t="s">
        <v>204</v>
      </c>
      <c r="H141" s="335" t="s">
        <v>204</v>
      </c>
      <c r="I141" s="336" t="str">
        <f t="shared" ref="I141:AL141" si="22">IF(I63&gt;=I64,"OK","BŁĄD")</f>
        <v>OK</v>
      </c>
      <c r="J141" s="337" t="str">
        <f t="shared" si="22"/>
        <v>OK</v>
      </c>
      <c r="K141" s="337" t="str">
        <f t="shared" si="22"/>
        <v>OK</v>
      </c>
      <c r="L141" s="337" t="str">
        <f t="shared" si="22"/>
        <v>OK</v>
      </c>
      <c r="M141" s="337" t="str">
        <f t="shared" si="22"/>
        <v>OK</v>
      </c>
      <c r="N141" s="337" t="str">
        <f t="shared" si="22"/>
        <v>OK</v>
      </c>
      <c r="O141" s="337" t="str">
        <f t="shared" si="22"/>
        <v>OK</v>
      </c>
      <c r="P141" s="337" t="str">
        <f t="shared" si="22"/>
        <v>OK</v>
      </c>
      <c r="Q141" s="337" t="str">
        <f t="shared" si="22"/>
        <v>OK</v>
      </c>
      <c r="R141" s="337" t="str">
        <f t="shared" si="22"/>
        <v>OK</v>
      </c>
      <c r="S141" s="337" t="str">
        <f t="shared" si="22"/>
        <v>OK</v>
      </c>
      <c r="T141" s="337" t="str">
        <f t="shared" si="22"/>
        <v>OK</v>
      </c>
      <c r="U141" s="337" t="str">
        <f t="shared" si="22"/>
        <v>OK</v>
      </c>
      <c r="V141" s="337" t="str">
        <f t="shared" si="22"/>
        <v>OK</v>
      </c>
      <c r="W141" s="337" t="str">
        <f t="shared" si="22"/>
        <v>OK</v>
      </c>
      <c r="X141" s="337" t="str">
        <f t="shared" si="22"/>
        <v>OK</v>
      </c>
      <c r="Y141" s="337" t="str">
        <f t="shared" si="22"/>
        <v>OK</v>
      </c>
      <c r="Z141" s="337" t="str">
        <f t="shared" si="22"/>
        <v>OK</v>
      </c>
      <c r="AA141" s="337" t="str">
        <f t="shared" si="22"/>
        <v>OK</v>
      </c>
      <c r="AB141" s="337" t="str">
        <f t="shared" si="22"/>
        <v>OK</v>
      </c>
      <c r="AC141" s="337" t="str">
        <f t="shared" si="22"/>
        <v>OK</v>
      </c>
      <c r="AD141" s="337" t="str">
        <f t="shared" si="22"/>
        <v>OK</v>
      </c>
      <c r="AE141" s="337" t="str">
        <f t="shared" si="22"/>
        <v>OK</v>
      </c>
      <c r="AF141" s="337" t="str">
        <f t="shared" si="22"/>
        <v>OK</v>
      </c>
      <c r="AG141" s="337" t="str">
        <f t="shared" si="22"/>
        <v>OK</v>
      </c>
      <c r="AH141" s="337" t="str">
        <f t="shared" si="22"/>
        <v>OK</v>
      </c>
      <c r="AI141" s="337" t="str">
        <f t="shared" si="22"/>
        <v>OK</v>
      </c>
      <c r="AJ141" s="337" t="str">
        <f t="shared" si="22"/>
        <v>OK</v>
      </c>
      <c r="AK141" s="337" t="str">
        <f t="shared" si="22"/>
        <v>OK</v>
      </c>
      <c r="AL141" s="338" t="str">
        <f t="shared" si="22"/>
        <v>OK</v>
      </c>
    </row>
    <row r="142" spans="2:38" ht="13.5" hidden="1" customHeight="1" outlineLevel="2">
      <c r="B142" s="221"/>
      <c r="C142" s="222" t="s">
        <v>509</v>
      </c>
      <c r="D142" s="344" t="s">
        <v>510</v>
      </c>
      <c r="E142" s="333" t="s">
        <v>204</v>
      </c>
      <c r="F142" s="334" t="s">
        <v>204</v>
      </c>
      <c r="G142" s="334" t="s">
        <v>204</v>
      </c>
      <c r="H142" s="335" t="s">
        <v>204</v>
      </c>
      <c r="I142" s="336" t="str">
        <f t="shared" ref="I142:AL142" si="23">IF(I63&gt;0,IF(I64&gt;0,"OK","BŁĄD"),"N/D")</f>
        <v>OK</v>
      </c>
      <c r="J142" s="337" t="str">
        <f t="shared" si="23"/>
        <v>OK</v>
      </c>
      <c r="K142" s="337" t="str">
        <f t="shared" si="23"/>
        <v>OK</v>
      </c>
      <c r="L142" s="337" t="str">
        <f t="shared" si="23"/>
        <v>OK</v>
      </c>
      <c r="M142" s="337" t="str">
        <f t="shared" si="23"/>
        <v>OK</v>
      </c>
      <c r="N142" s="337" t="str">
        <f t="shared" si="23"/>
        <v>OK</v>
      </c>
      <c r="O142" s="337" t="str">
        <f t="shared" si="23"/>
        <v>OK</v>
      </c>
      <c r="P142" s="337" t="str">
        <f t="shared" si="23"/>
        <v>OK</v>
      </c>
      <c r="Q142" s="337" t="str">
        <f t="shared" si="23"/>
        <v>OK</v>
      </c>
      <c r="R142" s="337" t="str">
        <f t="shared" si="23"/>
        <v>OK</v>
      </c>
      <c r="S142" s="337" t="str">
        <f t="shared" si="23"/>
        <v>N/D</v>
      </c>
      <c r="T142" s="337" t="str">
        <f t="shared" si="23"/>
        <v>N/D</v>
      </c>
      <c r="U142" s="337" t="str">
        <f t="shared" si="23"/>
        <v>N/D</v>
      </c>
      <c r="V142" s="337" t="str">
        <f t="shared" si="23"/>
        <v>N/D</v>
      </c>
      <c r="W142" s="337" t="str">
        <f t="shared" si="23"/>
        <v>N/D</v>
      </c>
      <c r="X142" s="337" t="str">
        <f t="shared" si="23"/>
        <v>N/D</v>
      </c>
      <c r="Y142" s="337" t="str">
        <f t="shared" si="23"/>
        <v>N/D</v>
      </c>
      <c r="Z142" s="337" t="str">
        <f t="shared" si="23"/>
        <v>N/D</v>
      </c>
      <c r="AA142" s="337" t="str">
        <f t="shared" si="23"/>
        <v>N/D</v>
      </c>
      <c r="AB142" s="337" t="str">
        <f t="shared" si="23"/>
        <v>N/D</v>
      </c>
      <c r="AC142" s="337" t="str">
        <f t="shared" si="23"/>
        <v>N/D</v>
      </c>
      <c r="AD142" s="337" t="str">
        <f t="shared" si="23"/>
        <v>N/D</v>
      </c>
      <c r="AE142" s="337" t="str">
        <f t="shared" si="23"/>
        <v>N/D</v>
      </c>
      <c r="AF142" s="337" t="str">
        <f t="shared" si="23"/>
        <v>N/D</v>
      </c>
      <c r="AG142" s="337" t="str">
        <f t="shared" si="23"/>
        <v>N/D</v>
      </c>
      <c r="AH142" s="337" t="str">
        <f t="shared" si="23"/>
        <v>N/D</v>
      </c>
      <c r="AI142" s="337" t="str">
        <f t="shared" si="23"/>
        <v>N/D</v>
      </c>
      <c r="AJ142" s="337" t="str">
        <f t="shared" si="23"/>
        <v>N/D</v>
      </c>
      <c r="AK142" s="337" t="str">
        <f t="shared" si="23"/>
        <v>N/D</v>
      </c>
      <c r="AL142" s="338" t="str">
        <f t="shared" si="23"/>
        <v>N/D</v>
      </c>
    </row>
    <row r="143" spans="2:38" ht="13.5" hidden="1" customHeight="1" outlineLevel="2">
      <c r="B143" s="221" t="s">
        <v>511</v>
      </c>
      <c r="C143" s="222" t="s">
        <v>511</v>
      </c>
      <c r="D143" s="344" t="s">
        <v>512</v>
      </c>
      <c r="E143" s="333" t="s">
        <v>204</v>
      </c>
      <c r="F143" s="334" t="s">
        <v>204</v>
      </c>
      <c r="G143" s="334" t="s">
        <v>204</v>
      </c>
      <c r="H143" s="335" t="s">
        <v>204</v>
      </c>
      <c r="I143" s="336" t="str">
        <f t="shared" ref="I143:AL144" si="24">IF(I75&gt;=I76,"OK","BŁĄD")</f>
        <v>OK</v>
      </c>
      <c r="J143" s="337" t="str">
        <f t="shared" si="24"/>
        <v>OK</v>
      </c>
      <c r="K143" s="337" t="str">
        <f t="shared" si="24"/>
        <v>OK</v>
      </c>
      <c r="L143" s="337" t="str">
        <f t="shared" si="24"/>
        <v>OK</v>
      </c>
      <c r="M143" s="337" t="str">
        <f t="shared" si="24"/>
        <v>OK</v>
      </c>
      <c r="N143" s="337" t="str">
        <f t="shared" si="24"/>
        <v>OK</v>
      </c>
      <c r="O143" s="337" t="str">
        <f t="shared" si="24"/>
        <v>OK</v>
      </c>
      <c r="P143" s="337" t="str">
        <f t="shared" si="24"/>
        <v>OK</v>
      </c>
      <c r="Q143" s="337" t="str">
        <f t="shared" si="24"/>
        <v>OK</v>
      </c>
      <c r="R143" s="337" t="str">
        <f t="shared" si="24"/>
        <v>OK</v>
      </c>
      <c r="S143" s="337" t="str">
        <f t="shared" si="24"/>
        <v>OK</v>
      </c>
      <c r="T143" s="337" t="str">
        <f t="shared" si="24"/>
        <v>OK</v>
      </c>
      <c r="U143" s="337" t="str">
        <f t="shared" si="24"/>
        <v>OK</v>
      </c>
      <c r="V143" s="337" t="str">
        <f t="shared" si="24"/>
        <v>OK</v>
      </c>
      <c r="W143" s="337" t="str">
        <f t="shared" si="24"/>
        <v>OK</v>
      </c>
      <c r="X143" s="337" t="str">
        <f t="shared" si="24"/>
        <v>OK</v>
      </c>
      <c r="Y143" s="337" t="str">
        <f t="shared" si="24"/>
        <v>OK</v>
      </c>
      <c r="Z143" s="337" t="str">
        <f t="shared" si="24"/>
        <v>OK</v>
      </c>
      <c r="AA143" s="337" t="str">
        <f t="shared" si="24"/>
        <v>OK</v>
      </c>
      <c r="AB143" s="337" t="str">
        <f t="shared" si="24"/>
        <v>OK</v>
      </c>
      <c r="AC143" s="337" t="str">
        <f t="shared" si="24"/>
        <v>OK</v>
      </c>
      <c r="AD143" s="337" t="str">
        <f t="shared" si="24"/>
        <v>OK</v>
      </c>
      <c r="AE143" s="337" t="str">
        <f t="shared" si="24"/>
        <v>OK</v>
      </c>
      <c r="AF143" s="337" t="str">
        <f t="shared" si="24"/>
        <v>OK</v>
      </c>
      <c r="AG143" s="337" t="str">
        <f t="shared" si="24"/>
        <v>OK</v>
      </c>
      <c r="AH143" s="337" t="str">
        <f t="shared" si="24"/>
        <v>OK</v>
      </c>
      <c r="AI143" s="337" t="str">
        <f t="shared" si="24"/>
        <v>OK</v>
      </c>
      <c r="AJ143" s="337" t="str">
        <f t="shared" si="24"/>
        <v>OK</v>
      </c>
      <c r="AK143" s="337" t="str">
        <f t="shared" si="24"/>
        <v>OK</v>
      </c>
      <c r="AL143" s="338" t="str">
        <f t="shared" si="24"/>
        <v>OK</v>
      </c>
    </row>
    <row r="144" spans="2:38" ht="13.5" hidden="1" customHeight="1" outlineLevel="2">
      <c r="B144" s="221" t="s">
        <v>513</v>
      </c>
      <c r="C144" s="222" t="s">
        <v>513</v>
      </c>
      <c r="D144" s="344" t="s">
        <v>514</v>
      </c>
      <c r="E144" s="333" t="s">
        <v>204</v>
      </c>
      <c r="F144" s="334" t="s">
        <v>204</v>
      </c>
      <c r="G144" s="334" t="s">
        <v>204</v>
      </c>
      <c r="H144" s="335" t="s">
        <v>204</v>
      </c>
      <c r="I144" s="336" t="str">
        <f t="shared" si="24"/>
        <v>OK</v>
      </c>
      <c r="J144" s="337" t="str">
        <f t="shared" si="24"/>
        <v>OK</v>
      </c>
      <c r="K144" s="337" t="str">
        <f t="shared" si="24"/>
        <v>OK</v>
      </c>
      <c r="L144" s="337" t="str">
        <f t="shared" si="24"/>
        <v>OK</v>
      </c>
      <c r="M144" s="337" t="str">
        <f t="shared" si="24"/>
        <v>OK</v>
      </c>
      <c r="N144" s="337" t="str">
        <f t="shared" si="24"/>
        <v>OK</v>
      </c>
      <c r="O144" s="337" t="str">
        <f t="shared" si="24"/>
        <v>OK</v>
      </c>
      <c r="P144" s="337" t="str">
        <f t="shared" si="24"/>
        <v>OK</v>
      </c>
      <c r="Q144" s="337" t="str">
        <f t="shared" si="24"/>
        <v>OK</v>
      </c>
      <c r="R144" s="337" t="str">
        <f t="shared" si="24"/>
        <v>OK</v>
      </c>
      <c r="S144" s="337" t="str">
        <f t="shared" si="24"/>
        <v>OK</v>
      </c>
      <c r="T144" s="337" t="str">
        <f t="shared" si="24"/>
        <v>OK</v>
      </c>
      <c r="U144" s="337" t="str">
        <f t="shared" si="24"/>
        <v>OK</v>
      </c>
      <c r="V144" s="337" t="str">
        <f t="shared" si="24"/>
        <v>OK</v>
      </c>
      <c r="W144" s="337" t="str">
        <f t="shared" si="24"/>
        <v>OK</v>
      </c>
      <c r="X144" s="337" t="str">
        <f t="shared" si="24"/>
        <v>OK</v>
      </c>
      <c r="Y144" s="337" t="str">
        <f t="shared" si="24"/>
        <v>OK</v>
      </c>
      <c r="Z144" s="337" t="str">
        <f t="shared" si="24"/>
        <v>OK</v>
      </c>
      <c r="AA144" s="337" t="str">
        <f t="shared" si="24"/>
        <v>OK</v>
      </c>
      <c r="AB144" s="337" t="str">
        <f t="shared" si="24"/>
        <v>OK</v>
      </c>
      <c r="AC144" s="337" t="str">
        <f t="shared" si="24"/>
        <v>OK</v>
      </c>
      <c r="AD144" s="337" t="str">
        <f t="shared" si="24"/>
        <v>OK</v>
      </c>
      <c r="AE144" s="337" t="str">
        <f t="shared" si="24"/>
        <v>OK</v>
      </c>
      <c r="AF144" s="337" t="str">
        <f t="shared" si="24"/>
        <v>OK</v>
      </c>
      <c r="AG144" s="337" t="str">
        <f t="shared" si="24"/>
        <v>OK</v>
      </c>
      <c r="AH144" s="337" t="str">
        <f t="shared" si="24"/>
        <v>OK</v>
      </c>
      <c r="AI144" s="337" t="str">
        <f t="shared" si="24"/>
        <v>OK</v>
      </c>
      <c r="AJ144" s="337" t="str">
        <f t="shared" si="24"/>
        <v>OK</v>
      </c>
      <c r="AK144" s="337" t="str">
        <f t="shared" si="24"/>
        <v>OK</v>
      </c>
      <c r="AL144" s="338" t="str">
        <f t="shared" si="24"/>
        <v>OK</v>
      </c>
    </row>
    <row r="145" spans="2:38" ht="13.5" hidden="1" customHeight="1" outlineLevel="2">
      <c r="B145" s="221" t="s">
        <v>515</v>
      </c>
      <c r="C145" s="222" t="s">
        <v>515</v>
      </c>
      <c r="D145" s="344" t="s">
        <v>516</v>
      </c>
      <c r="E145" s="333" t="s">
        <v>204</v>
      </c>
      <c r="F145" s="334" t="s">
        <v>204</v>
      </c>
      <c r="G145" s="334" t="s">
        <v>204</v>
      </c>
      <c r="H145" s="335" t="s">
        <v>204</v>
      </c>
      <c r="I145" s="336" t="str">
        <f t="shared" ref="I145:AL146" si="25">IF(I78&gt;=I79,"OK","BŁĄD")</f>
        <v>OK</v>
      </c>
      <c r="J145" s="337" t="str">
        <f t="shared" si="25"/>
        <v>OK</v>
      </c>
      <c r="K145" s="337" t="str">
        <f t="shared" si="25"/>
        <v>OK</v>
      </c>
      <c r="L145" s="337" t="str">
        <f t="shared" si="25"/>
        <v>OK</v>
      </c>
      <c r="M145" s="337" t="str">
        <f t="shared" si="25"/>
        <v>OK</v>
      </c>
      <c r="N145" s="337" t="str">
        <f t="shared" si="25"/>
        <v>OK</v>
      </c>
      <c r="O145" s="337" t="str">
        <f t="shared" si="25"/>
        <v>OK</v>
      </c>
      <c r="P145" s="337" t="str">
        <f t="shared" si="25"/>
        <v>OK</v>
      </c>
      <c r="Q145" s="337" t="str">
        <f t="shared" si="25"/>
        <v>OK</v>
      </c>
      <c r="R145" s="337" t="str">
        <f t="shared" si="25"/>
        <v>OK</v>
      </c>
      <c r="S145" s="337" t="str">
        <f t="shared" si="25"/>
        <v>OK</v>
      </c>
      <c r="T145" s="337" t="str">
        <f t="shared" si="25"/>
        <v>OK</v>
      </c>
      <c r="U145" s="337" t="str">
        <f t="shared" si="25"/>
        <v>OK</v>
      </c>
      <c r="V145" s="337" t="str">
        <f t="shared" si="25"/>
        <v>OK</v>
      </c>
      <c r="W145" s="337" t="str">
        <f t="shared" si="25"/>
        <v>OK</v>
      </c>
      <c r="X145" s="337" t="str">
        <f t="shared" si="25"/>
        <v>OK</v>
      </c>
      <c r="Y145" s="337" t="str">
        <f t="shared" si="25"/>
        <v>OK</v>
      </c>
      <c r="Z145" s="337" t="str">
        <f t="shared" si="25"/>
        <v>OK</v>
      </c>
      <c r="AA145" s="337" t="str">
        <f t="shared" si="25"/>
        <v>OK</v>
      </c>
      <c r="AB145" s="337" t="str">
        <f t="shared" si="25"/>
        <v>OK</v>
      </c>
      <c r="AC145" s="337" t="str">
        <f t="shared" si="25"/>
        <v>OK</v>
      </c>
      <c r="AD145" s="337" t="str">
        <f t="shared" si="25"/>
        <v>OK</v>
      </c>
      <c r="AE145" s="337" t="str">
        <f t="shared" si="25"/>
        <v>OK</v>
      </c>
      <c r="AF145" s="337" t="str">
        <f t="shared" si="25"/>
        <v>OK</v>
      </c>
      <c r="AG145" s="337" t="str">
        <f t="shared" si="25"/>
        <v>OK</v>
      </c>
      <c r="AH145" s="337" t="str">
        <f t="shared" si="25"/>
        <v>OK</v>
      </c>
      <c r="AI145" s="337" t="str">
        <f t="shared" si="25"/>
        <v>OK</v>
      </c>
      <c r="AJ145" s="337" t="str">
        <f t="shared" si="25"/>
        <v>OK</v>
      </c>
      <c r="AK145" s="337" t="str">
        <f t="shared" si="25"/>
        <v>OK</v>
      </c>
      <c r="AL145" s="338" t="str">
        <f t="shared" si="25"/>
        <v>OK</v>
      </c>
    </row>
    <row r="146" spans="2:38" ht="13.5" hidden="1" customHeight="1" outlineLevel="2">
      <c r="B146" s="221" t="s">
        <v>517</v>
      </c>
      <c r="C146" s="222" t="s">
        <v>517</v>
      </c>
      <c r="D146" s="344" t="s">
        <v>518</v>
      </c>
      <c r="E146" s="333" t="s">
        <v>204</v>
      </c>
      <c r="F146" s="334" t="s">
        <v>204</v>
      </c>
      <c r="G146" s="334" t="s">
        <v>204</v>
      </c>
      <c r="H146" s="335" t="s">
        <v>204</v>
      </c>
      <c r="I146" s="336" t="str">
        <f t="shared" si="25"/>
        <v>OK</v>
      </c>
      <c r="J146" s="337" t="str">
        <f t="shared" si="25"/>
        <v>OK</v>
      </c>
      <c r="K146" s="337" t="str">
        <f t="shared" si="25"/>
        <v>OK</v>
      </c>
      <c r="L146" s="337" t="str">
        <f t="shared" si="25"/>
        <v>OK</v>
      </c>
      <c r="M146" s="337" t="str">
        <f t="shared" si="25"/>
        <v>OK</v>
      </c>
      <c r="N146" s="337" t="str">
        <f t="shared" si="25"/>
        <v>OK</v>
      </c>
      <c r="O146" s="337" t="str">
        <f t="shared" si="25"/>
        <v>OK</v>
      </c>
      <c r="P146" s="337" t="str">
        <f t="shared" si="25"/>
        <v>OK</v>
      </c>
      <c r="Q146" s="337" t="str">
        <f t="shared" si="25"/>
        <v>OK</v>
      </c>
      <c r="R146" s="337" t="str">
        <f t="shared" si="25"/>
        <v>OK</v>
      </c>
      <c r="S146" s="337" t="str">
        <f t="shared" si="25"/>
        <v>OK</v>
      </c>
      <c r="T146" s="337" t="str">
        <f t="shared" si="25"/>
        <v>OK</v>
      </c>
      <c r="U146" s="337" t="str">
        <f t="shared" si="25"/>
        <v>OK</v>
      </c>
      <c r="V146" s="337" t="str">
        <f t="shared" si="25"/>
        <v>OK</v>
      </c>
      <c r="W146" s="337" t="str">
        <f t="shared" si="25"/>
        <v>OK</v>
      </c>
      <c r="X146" s="337" t="str">
        <f t="shared" si="25"/>
        <v>OK</v>
      </c>
      <c r="Y146" s="337" t="str">
        <f t="shared" si="25"/>
        <v>OK</v>
      </c>
      <c r="Z146" s="337" t="str">
        <f t="shared" si="25"/>
        <v>OK</v>
      </c>
      <c r="AA146" s="337" t="str">
        <f t="shared" si="25"/>
        <v>OK</v>
      </c>
      <c r="AB146" s="337" t="str">
        <f t="shared" si="25"/>
        <v>OK</v>
      </c>
      <c r="AC146" s="337" t="str">
        <f t="shared" si="25"/>
        <v>OK</v>
      </c>
      <c r="AD146" s="337" t="str">
        <f t="shared" si="25"/>
        <v>OK</v>
      </c>
      <c r="AE146" s="337" t="str">
        <f t="shared" si="25"/>
        <v>OK</v>
      </c>
      <c r="AF146" s="337" t="str">
        <f t="shared" si="25"/>
        <v>OK</v>
      </c>
      <c r="AG146" s="337" t="str">
        <f t="shared" si="25"/>
        <v>OK</v>
      </c>
      <c r="AH146" s="337" t="str">
        <f t="shared" si="25"/>
        <v>OK</v>
      </c>
      <c r="AI146" s="337" t="str">
        <f t="shared" si="25"/>
        <v>OK</v>
      </c>
      <c r="AJ146" s="337" t="str">
        <f t="shared" si="25"/>
        <v>OK</v>
      </c>
      <c r="AK146" s="337" t="str">
        <f t="shared" si="25"/>
        <v>OK</v>
      </c>
      <c r="AL146" s="338" t="str">
        <f t="shared" si="25"/>
        <v>OK</v>
      </c>
    </row>
    <row r="147" spans="2:38" ht="13.5" hidden="1" customHeight="1" outlineLevel="2">
      <c r="B147" s="221" t="s">
        <v>519</v>
      </c>
      <c r="C147" s="222" t="s">
        <v>519</v>
      </c>
      <c r="D147" s="344" t="s">
        <v>520</v>
      </c>
      <c r="E147" s="333" t="s">
        <v>204</v>
      </c>
      <c r="F147" s="334" t="s">
        <v>204</v>
      </c>
      <c r="G147" s="334" t="s">
        <v>204</v>
      </c>
      <c r="H147" s="335" t="s">
        <v>204</v>
      </c>
      <c r="I147" s="336" t="str">
        <f t="shared" ref="I147:AL147" si="26">IF(I81&gt;=I82,"OK","BŁĄD")</f>
        <v>OK</v>
      </c>
      <c r="J147" s="337" t="str">
        <f t="shared" si="26"/>
        <v>OK</v>
      </c>
      <c r="K147" s="337" t="str">
        <f t="shared" si="26"/>
        <v>OK</v>
      </c>
      <c r="L147" s="337" t="str">
        <f t="shared" si="26"/>
        <v>OK</v>
      </c>
      <c r="M147" s="337" t="str">
        <f t="shared" si="26"/>
        <v>OK</v>
      </c>
      <c r="N147" s="337" t="str">
        <f t="shared" si="26"/>
        <v>OK</v>
      </c>
      <c r="O147" s="337" t="str">
        <f t="shared" si="26"/>
        <v>OK</v>
      </c>
      <c r="P147" s="337" t="str">
        <f t="shared" si="26"/>
        <v>OK</v>
      </c>
      <c r="Q147" s="337" t="str">
        <f t="shared" si="26"/>
        <v>OK</v>
      </c>
      <c r="R147" s="337" t="str">
        <f t="shared" si="26"/>
        <v>OK</v>
      </c>
      <c r="S147" s="337" t="str">
        <f t="shared" si="26"/>
        <v>OK</v>
      </c>
      <c r="T147" s="337" t="str">
        <f t="shared" si="26"/>
        <v>OK</v>
      </c>
      <c r="U147" s="337" t="str">
        <f t="shared" si="26"/>
        <v>OK</v>
      </c>
      <c r="V147" s="337" t="str">
        <f t="shared" si="26"/>
        <v>OK</v>
      </c>
      <c r="W147" s="337" t="str">
        <f t="shared" si="26"/>
        <v>OK</v>
      </c>
      <c r="X147" s="337" t="str">
        <f t="shared" si="26"/>
        <v>OK</v>
      </c>
      <c r="Y147" s="337" t="str">
        <f t="shared" si="26"/>
        <v>OK</v>
      </c>
      <c r="Z147" s="337" t="str">
        <f t="shared" si="26"/>
        <v>OK</v>
      </c>
      <c r="AA147" s="337" t="str">
        <f t="shared" si="26"/>
        <v>OK</v>
      </c>
      <c r="AB147" s="337" t="str">
        <f t="shared" si="26"/>
        <v>OK</v>
      </c>
      <c r="AC147" s="337" t="str">
        <f t="shared" si="26"/>
        <v>OK</v>
      </c>
      <c r="AD147" s="337" t="str">
        <f t="shared" si="26"/>
        <v>OK</v>
      </c>
      <c r="AE147" s="337" t="str">
        <f t="shared" si="26"/>
        <v>OK</v>
      </c>
      <c r="AF147" s="337" t="str">
        <f t="shared" si="26"/>
        <v>OK</v>
      </c>
      <c r="AG147" s="337" t="str">
        <f t="shared" si="26"/>
        <v>OK</v>
      </c>
      <c r="AH147" s="337" t="str">
        <f t="shared" si="26"/>
        <v>OK</v>
      </c>
      <c r="AI147" s="337" t="str">
        <f t="shared" si="26"/>
        <v>OK</v>
      </c>
      <c r="AJ147" s="337" t="str">
        <f t="shared" si="26"/>
        <v>OK</v>
      </c>
      <c r="AK147" s="337" t="str">
        <f t="shared" si="26"/>
        <v>OK</v>
      </c>
      <c r="AL147" s="338" t="str">
        <f t="shared" si="26"/>
        <v>OK</v>
      </c>
    </row>
    <row r="148" spans="2:38" ht="13.5" hidden="1" customHeight="1" outlineLevel="2">
      <c r="B148" s="221" t="s">
        <v>521</v>
      </c>
      <c r="C148" s="222" t="s">
        <v>521</v>
      </c>
      <c r="D148" s="344" t="s">
        <v>522</v>
      </c>
      <c r="E148" s="333" t="s">
        <v>204</v>
      </c>
      <c r="F148" s="334" t="s">
        <v>204</v>
      </c>
      <c r="G148" s="334" t="s">
        <v>204</v>
      </c>
      <c r="H148" s="335" t="s">
        <v>204</v>
      </c>
      <c r="I148" s="336" t="str">
        <f t="shared" ref="I148:AL148" si="27">IF(I81&gt;=I83,"OK","BŁĄD")</f>
        <v>OK</v>
      </c>
      <c r="J148" s="337" t="str">
        <f t="shared" si="27"/>
        <v>OK</v>
      </c>
      <c r="K148" s="337" t="str">
        <f t="shared" si="27"/>
        <v>OK</v>
      </c>
      <c r="L148" s="337" t="str">
        <f t="shared" si="27"/>
        <v>OK</v>
      </c>
      <c r="M148" s="337" t="str">
        <f t="shared" si="27"/>
        <v>OK</v>
      </c>
      <c r="N148" s="337" t="str">
        <f t="shared" si="27"/>
        <v>OK</v>
      </c>
      <c r="O148" s="337" t="str">
        <f t="shared" si="27"/>
        <v>OK</v>
      </c>
      <c r="P148" s="337" t="str">
        <f t="shared" si="27"/>
        <v>OK</v>
      </c>
      <c r="Q148" s="337" t="str">
        <f t="shared" si="27"/>
        <v>OK</v>
      </c>
      <c r="R148" s="337" t="str">
        <f t="shared" si="27"/>
        <v>OK</v>
      </c>
      <c r="S148" s="337" t="str">
        <f t="shared" si="27"/>
        <v>OK</v>
      </c>
      <c r="T148" s="337" t="str">
        <f t="shared" si="27"/>
        <v>OK</v>
      </c>
      <c r="U148" s="337" t="str">
        <f t="shared" si="27"/>
        <v>OK</v>
      </c>
      <c r="V148" s="337" t="str">
        <f t="shared" si="27"/>
        <v>OK</v>
      </c>
      <c r="W148" s="337" t="str">
        <f t="shared" si="27"/>
        <v>OK</v>
      </c>
      <c r="X148" s="337" t="str">
        <f t="shared" si="27"/>
        <v>OK</v>
      </c>
      <c r="Y148" s="337" t="str">
        <f t="shared" si="27"/>
        <v>OK</v>
      </c>
      <c r="Z148" s="337" t="str">
        <f t="shared" si="27"/>
        <v>OK</v>
      </c>
      <c r="AA148" s="337" t="str">
        <f t="shared" si="27"/>
        <v>OK</v>
      </c>
      <c r="AB148" s="337" t="str">
        <f t="shared" si="27"/>
        <v>OK</v>
      </c>
      <c r="AC148" s="337" t="str">
        <f t="shared" si="27"/>
        <v>OK</v>
      </c>
      <c r="AD148" s="337" t="str">
        <f t="shared" si="27"/>
        <v>OK</v>
      </c>
      <c r="AE148" s="337" t="str">
        <f t="shared" si="27"/>
        <v>OK</v>
      </c>
      <c r="AF148" s="337" t="str">
        <f t="shared" si="27"/>
        <v>OK</v>
      </c>
      <c r="AG148" s="337" t="str">
        <f t="shared" si="27"/>
        <v>OK</v>
      </c>
      <c r="AH148" s="337" t="str">
        <f t="shared" si="27"/>
        <v>OK</v>
      </c>
      <c r="AI148" s="337" t="str">
        <f t="shared" si="27"/>
        <v>OK</v>
      </c>
      <c r="AJ148" s="337" t="str">
        <f t="shared" si="27"/>
        <v>OK</v>
      </c>
      <c r="AK148" s="337" t="str">
        <f t="shared" si="27"/>
        <v>OK</v>
      </c>
      <c r="AL148" s="338" t="str">
        <f t="shared" si="27"/>
        <v>OK</v>
      </c>
    </row>
    <row r="149" spans="2:38" ht="13.5" hidden="1" customHeight="1" outlineLevel="2">
      <c r="B149" s="221" t="s">
        <v>523</v>
      </c>
      <c r="C149" s="222" t="s">
        <v>523</v>
      </c>
      <c r="D149" s="344" t="s">
        <v>524</v>
      </c>
      <c r="E149" s="333" t="s">
        <v>204</v>
      </c>
      <c r="F149" s="334" t="s">
        <v>204</v>
      </c>
      <c r="G149" s="334" t="s">
        <v>204</v>
      </c>
      <c r="H149" s="335" t="s">
        <v>204</v>
      </c>
      <c r="I149" s="336" t="str">
        <f t="shared" ref="I149:AL149" si="28">IF(I84&gt;=I85,"OK","BŁĄD")</f>
        <v>OK</v>
      </c>
      <c r="J149" s="337" t="str">
        <f t="shared" si="28"/>
        <v>OK</v>
      </c>
      <c r="K149" s="337" t="str">
        <f t="shared" si="28"/>
        <v>OK</v>
      </c>
      <c r="L149" s="337" t="str">
        <f t="shared" si="28"/>
        <v>OK</v>
      </c>
      <c r="M149" s="337" t="str">
        <f t="shared" si="28"/>
        <v>OK</v>
      </c>
      <c r="N149" s="337" t="str">
        <f t="shared" si="28"/>
        <v>OK</v>
      </c>
      <c r="O149" s="337" t="str">
        <f t="shared" si="28"/>
        <v>OK</v>
      </c>
      <c r="P149" s="337" t="str">
        <f t="shared" si="28"/>
        <v>OK</v>
      </c>
      <c r="Q149" s="337" t="str">
        <f t="shared" si="28"/>
        <v>OK</v>
      </c>
      <c r="R149" s="337" t="str">
        <f t="shared" si="28"/>
        <v>OK</v>
      </c>
      <c r="S149" s="337" t="str">
        <f t="shared" si="28"/>
        <v>OK</v>
      </c>
      <c r="T149" s="337" t="str">
        <f t="shared" si="28"/>
        <v>OK</v>
      </c>
      <c r="U149" s="337" t="str">
        <f t="shared" si="28"/>
        <v>OK</v>
      </c>
      <c r="V149" s="337" t="str">
        <f t="shared" si="28"/>
        <v>OK</v>
      </c>
      <c r="W149" s="337" t="str">
        <f t="shared" si="28"/>
        <v>OK</v>
      </c>
      <c r="X149" s="337" t="str">
        <f t="shared" si="28"/>
        <v>OK</v>
      </c>
      <c r="Y149" s="337" t="str">
        <f t="shared" si="28"/>
        <v>OK</v>
      </c>
      <c r="Z149" s="337" t="str">
        <f t="shared" si="28"/>
        <v>OK</v>
      </c>
      <c r="AA149" s="337" t="str">
        <f t="shared" si="28"/>
        <v>OK</v>
      </c>
      <c r="AB149" s="337" t="str">
        <f t="shared" si="28"/>
        <v>OK</v>
      </c>
      <c r="AC149" s="337" t="str">
        <f t="shared" si="28"/>
        <v>OK</v>
      </c>
      <c r="AD149" s="337" t="str">
        <f t="shared" si="28"/>
        <v>OK</v>
      </c>
      <c r="AE149" s="337" t="str">
        <f t="shared" si="28"/>
        <v>OK</v>
      </c>
      <c r="AF149" s="337" t="str">
        <f t="shared" si="28"/>
        <v>OK</v>
      </c>
      <c r="AG149" s="337" t="str">
        <f t="shared" si="28"/>
        <v>OK</v>
      </c>
      <c r="AH149" s="337" t="str">
        <f t="shared" si="28"/>
        <v>OK</v>
      </c>
      <c r="AI149" s="337" t="str">
        <f t="shared" si="28"/>
        <v>OK</v>
      </c>
      <c r="AJ149" s="337" t="str">
        <f t="shared" si="28"/>
        <v>OK</v>
      </c>
      <c r="AK149" s="337" t="str">
        <f t="shared" si="28"/>
        <v>OK</v>
      </c>
      <c r="AL149" s="338" t="str">
        <f t="shared" si="28"/>
        <v>OK</v>
      </c>
    </row>
    <row r="150" spans="2:38" ht="13.5" hidden="1" customHeight="1" outlineLevel="2">
      <c r="B150" s="221" t="s">
        <v>525</v>
      </c>
      <c r="C150" s="222" t="s">
        <v>525</v>
      </c>
      <c r="D150" s="344" t="s">
        <v>526</v>
      </c>
      <c r="E150" s="333" t="s">
        <v>204</v>
      </c>
      <c r="F150" s="334" t="s">
        <v>204</v>
      </c>
      <c r="G150" s="334" t="s">
        <v>204</v>
      </c>
      <c r="H150" s="335" t="s">
        <v>204</v>
      </c>
      <c r="I150" s="336" t="str">
        <f t="shared" ref="I150:AL150" si="29">IF(I84&gt;=I86,"OK","BŁĄD")</f>
        <v>OK</v>
      </c>
      <c r="J150" s="337" t="str">
        <f t="shared" si="29"/>
        <v>OK</v>
      </c>
      <c r="K150" s="337" t="str">
        <f t="shared" si="29"/>
        <v>OK</v>
      </c>
      <c r="L150" s="337" t="str">
        <f t="shared" si="29"/>
        <v>OK</v>
      </c>
      <c r="M150" s="337" t="str">
        <f t="shared" si="29"/>
        <v>OK</v>
      </c>
      <c r="N150" s="337" t="str">
        <f t="shared" si="29"/>
        <v>OK</v>
      </c>
      <c r="O150" s="337" t="str">
        <f t="shared" si="29"/>
        <v>OK</v>
      </c>
      <c r="P150" s="337" t="str">
        <f t="shared" si="29"/>
        <v>OK</v>
      </c>
      <c r="Q150" s="337" t="str">
        <f t="shared" si="29"/>
        <v>OK</v>
      </c>
      <c r="R150" s="337" t="str">
        <f t="shared" si="29"/>
        <v>OK</v>
      </c>
      <c r="S150" s="337" t="str">
        <f t="shared" si="29"/>
        <v>OK</v>
      </c>
      <c r="T150" s="337" t="str">
        <f t="shared" si="29"/>
        <v>OK</v>
      </c>
      <c r="U150" s="337" t="str">
        <f t="shared" si="29"/>
        <v>OK</v>
      </c>
      <c r="V150" s="337" t="str">
        <f t="shared" si="29"/>
        <v>OK</v>
      </c>
      <c r="W150" s="337" t="str">
        <f t="shared" si="29"/>
        <v>OK</v>
      </c>
      <c r="X150" s="337" t="str">
        <f t="shared" si="29"/>
        <v>OK</v>
      </c>
      <c r="Y150" s="337" t="str">
        <f t="shared" si="29"/>
        <v>OK</v>
      </c>
      <c r="Z150" s="337" t="str">
        <f t="shared" si="29"/>
        <v>OK</v>
      </c>
      <c r="AA150" s="337" t="str">
        <f t="shared" si="29"/>
        <v>OK</v>
      </c>
      <c r="AB150" s="337" t="str">
        <f t="shared" si="29"/>
        <v>OK</v>
      </c>
      <c r="AC150" s="337" t="str">
        <f t="shared" si="29"/>
        <v>OK</v>
      </c>
      <c r="AD150" s="337" t="str">
        <f t="shared" si="29"/>
        <v>OK</v>
      </c>
      <c r="AE150" s="337" t="str">
        <f t="shared" si="29"/>
        <v>OK</v>
      </c>
      <c r="AF150" s="337" t="str">
        <f t="shared" si="29"/>
        <v>OK</v>
      </c>
      <c r="AG150" s="337" t="str">
        <f t="shared" si="29"/>
        <v>OK</v>
      </c>
      <c r="AH150" s="337" t="str">
        <f t="shared" si="29"/>
        <v>OK</v>
      </c>
      <c r="AI150" s="337" t="str">
        <f t="shared" si="29"/>
        <v>OK</v>
      </c>
      <c r="AJ150" s="337" t="str">
        <f t="shared" si="29"/>
        <v>OK</v>
      </c>
      <c r="AK150" s="337" t="str">
        <f t="shared" si="29"/>
        <v>OK</v>
      </c>
      <c r="AL150" s="338" t="str">
        <f t="shared" si="29"/>
        <v>OK</v>
      </c>
    </row>
    <row r="151" spans="2:38" ht="13.5" hidden="1" customHeight="1" outlineLevel="2">
      <c r="B151" s="221" t="s">
        <v>523</v>
      </c>
      <c r="C151" s="222" t="s">
        <v>523</v>
      </c>
      <c r="D151" s="344" t="s">
        <v>527</v>
      </c>
      <c r="E151" s="333" t="s">
        <v>204</v>
      </c>
      <c r="F151" s="334" t="s">
        <v>204</v>
      </c>
      <c r="G151" s="334" t="s">
        <v>204</v>
      </c>
      <c r="H151" s="335" t="s">
        <v>204</v>
      </c>
      <c r="I151" s="336" t="str">
        <f>IF(I87&gt;=I88,"OK","BŁĄD")</f>
        <v>OK</v>
      </c>
      <c r="J151" s="337" t="str">
        <f t="shared" ref="J151:AL151" si="30">IF(J87&gt;=J88,"OK","BŁĄD")</f>
        <v>OK</v>
      </c>
      <c r="K151" s="337" t="str">
        <f t="shared" si="30"/>
        <v>OK</v>
      </c>
      <c r="L151" s="337" t="str">
        <f t="shared" si="30"/>
        <v>OK</v>
      </c>
      <c r="M151" s="337" t="str">
        <f t="shared" si="30"/>
        <v>OK</v>
      </c>
      <c r="N151" s="337" t="str">
        <f t="shared" si="30"/>
        <v>OK</v>
      </c>
      <c r="O151" s="337" t="str">
        <f t="shared" si="30"/>
        <v>OK</v>
      </c>
      <c r="P151" s="337" t="str">
        <f t="shared" si="30"/>
        <v>OK</v>
      </c>
      <c r="Q151" s="337" t="str">
        <f t="shared" si="30"/>
        <v>OK</v>
      </c>
      <c r="R151" s="337" t="str">
        <f t="shared" si="30"/>
        <v>OK</v>
      </c>
      <c r="S151" s="337" t="str">
        <f t="shared" si="30"/>
        <v>OK</v>
      </c>
      <c r="T151" s="337" t="str">
        <f t="shared" si="30"/>
        <v>OK</v>
      </c>
      <c r="U151" s="337" t="str">
        <f t="shared" si="30"/>
        <v>OK</v>
      </c>
      <c r="V151" s="337" t="str">
        <f t="shared" si="30"/>
        <v>OK</v>
      </c>
      <c r="W151" s="337" t="str">
        <f t="shared" si="30"/>
        <v>OK</v>
      </c>
      <c r="X151" s="337" t="str">
        <f t="shared" si="30"/>
        <v>OK</v>
      </c>
      <c r="Y151" s="337" t="str">
        <f t="shared" si="30"/>
        <v>OK</v>
      </c>
      <c r="Z151" s="337" t="str">
        <f t="shared" si="30"/>
        <v>OK</v>
      </c>
      <c r="AA151" s="337" t="str">
        <f t="shared" si="30"/>
        <v>OK</v>
      </c>
      <c r="AB151" s="337" t="str">
        <f t="shared" si="30"/>
        <v>OK</v>
      </c>
      <c r="AC151" s="337" t="str">
        <f t="shared" si="30"/>
        <v>OK</v>
      </c>
      <c r="AD151" s="337" t="str">
        <f t="shared" si="30"/>
        <v>OK</v>
      </c>
      <c r="AE151" s="337" t="str">
        <f t="shared" si="30"/>
        <v>OK</v>
      </c>
      <c r="AF151" s="337" t="str">
        <f t="shared" si="30"/>
        <v>OK</v>
      </c>
      <c r="AG151" s="337" t="str">
        <f t="shared" si="30"/>
        <v>OK</v>
      </c>
      <c r="AH151" s="337" t="str">
        <f t="shared" si="30"/>
        <v>OK</v>
      </c>
      <c r="AI151" s="337" t="str">
        <f t="shared" si="30"/>
        <v>OK</v>
      </c>
      <c r="AJ151" s="337" t="str">
        <f t="shared" si="30"/>
        <v>OK</v>
      </c>
      <c r="AK151" s="337" t="str">
        <f t="shared" si="30"/>
        <v>OK</v>
      </c>
      <c r="AL151" s="338" t="str">
        <f t="shared" si="30"/>
        <v>OK</v>
      </c>
    </row>
    <row r="152" spans="2:38" ht="13.5" hidden="1" customHeight="1" outlineLevel="2">
      <c r="B152" s="221" t="s">
        <v>523</v>
      </c>
      <c r="C152" s="222" t="s">
        <v>523</v>
      </c>
      <c r="D152" s="344" t="s">
        <v>528</v>
      </c>
      <c r="E152" s="333" t="s">
        <v>204</v>
      </c>
      <c r="F152" s="334" t="s">
        <v>204</v>
      </c>
      <c r="G152" s="334" t="s">
        <v>204</v>
      </c>
      <c r="H152" s="335" t="s">
        <v>204</v>
      </c>
      <c r="I152" s="336" t="str">
        <f>IF(I89&gt;=I90,"OK","BŁĄD")</f>
        <v>OK</v>
      </c>
      <c r="J152" s="337" t="str">
        <f t="shared" ref="J152:AL152" si="31">IF(J89&gt;=J90,"OK","BŁĄD")</f>
        <v>OK</v>
      </c>
      <c r="K152" s="337" t="str">
        <f t="shared" si="31"/>
        <v>OK</v>
      </c>
      <c r="L152" s="337" t="str">
        <f t="shared" si="31"/>
        <v>OK</v>
      </c>
      <c r="M152" s="337" t="str">
        <f t="shared" si="31"/>
        <v>OK</v>
      </c>
      <c r="N152" s="337" t="str">
        <f t="shared" si="31"/>
        <v>OK</v>
      </c>
      <c r="O152" s="337" t="str">
        <f t="shared" si="31"/>
        <v>OK</v>
      </c>
      <c r="P152" s="337" t="str">
        <f t="shared" si="31"/>
        <v>OK</v>
      </c>
      <c r="Q152" s="337" t="str">
        <f t="shared" si="31"/>
        <v>OK</v>
      </c>
      <c r="R152" s="337" t="str">
        <f t="shared" si="31"/>
        <v>OK</v>
      </c>
      <c r="S152" s="337" t="str">
        <f t="shared" si="31"/>
        <v>OK</v>
      </c>
      <c r="T152" s="337" t="str">
        <f t="shared" si="31"/>
        <v>OK</v>
      </c>
      <c r="U152" s="337" t="str">
        <f t="shared" si="31"/>
        <v>OK</v>
      </c>
      <c r="V152" s="337" t="str">
        <f t="shared" si="31"/>
        <v>OK</v>
      </c>
      <c r="W152" s="337" t="str">
        <f t="shared" si="31"/>
        <v>OK</v>
      </c>
      <c r="X152" s="337" t="str">
        <f t="shared" si="31"/>
        <v>OK</v>
      </c>
      <c r="Y152" s="337" t="str">
        <f t="shared" si="31"/>
        <v>OK</v>
      </c>
      <c r="Z152" s="337" t="str">
        <f t="shared" si="31"/>
        <v>OK</v>
      </c>
      <c r="AA152" s="337" t="str">
        <f t="shared" si="31"/>
        <v>OK</v>
      </c>
      <c r="AB152" s="337" t="str">
        <f t="shared" si="31"/>
        <v>OK</v>
      </c>
      <c r="AC152" s="337" t="str">
        <f t="shared" si="31"/>
        <v>OK</v>
      </c>
      <c r="AD152" s="337" t="str">
        <f t="shared" si="31"/>
        <v>OK</v>
      </c>
      <c r="AE152" s="337" t="str">
        <f t="shared" si="31"/>
        <v>OK</v>
      </c>
      <c r="AF152" s="337" t="str">
        <f t="shared" si="31"/>
        <v>OK</v>
      </c>
      <c r="AG152" s="337" t="str">
        <f t="shared" si="31"/>
        <v>OK</v>
      </c>
      <c r="AH152" s="337" t="str">
        <f t="shared" si="31"/>
        <v>OK</v>
      </c>
      <c r="AI152" s="337" t="str">
        <f t="shared" si="31"/>
        <v>OK</v>
      </c>
      <c r="AJ152" s="337" t="str">
        <f t="shared" si="31"/>
        <v>OK</v>
      </c>
      <c r="AK152" s="337" t="str">
        <f t="shared" si="31"/>
        <v>OK</v>
      </c>
      <c r="AL152" s="338" t="str">
        <f t="shared" si="31"/>
        <v>OK</v>
      </c>
    </row>
    <row r="153" spans="2:38" ht="13.5" hidden="1" customHeight="1" outlineLevel="2">
      <c r="B153" s="221" t="s">
        <v>523</v>
      </c>
      <c r="C153" s="222" t="s">
        <v>523</v>
      </c>
      <c r="D153" s="344" t="s">
        <v>529</v>
      </c>
      <c r="E153" s="333" t="s">
        <v>204</v>
      </c>
      <c r="F153" s="334" t="s">
        <v>204</v>
      </c>
      <c r="G153" s="334" t="s">
        <v>204</v>
      </c>
      <c r="H153" s="335" t="s">
        <v>204</v>
      </c>
      <c r="I153" s="336" t="str">
        <f>IF(I91&gt;=I92,"OK","BŁĄD")</f>
        <v>OK</v>
      </c>
      <c r="J153" s="337" t="str">
        <f t="shared" ref="J153:AL153" si="32">IF(J91&gt;=J92,"OK","BŁĄD")</f>
        <v>OK</v>
      </c>
      <c r="K153" s="337" t="str">
        <f t="shared" si="32"/>
        <v>OK</v>
      </c>
      <c r="L153" s="337" t="str">
        <f t="shared" si="32"/>
        <v>OK</v>
      </c>
      <c r="M153" s="337" t="str">
        <f t="shared" si="32"/>
        <v>OK</v>
      </c>
      <c r="N153" s="337" t="str">
        <f t="shared" si="32"/>
        <v>OK</v>
      </c>
      <c r="O153" s="337" t="str">
        <f t="shared" si="32"/>
        <v>OK</v>
      </c>
      <c r="P153" s="337" t="str">
        <f t="shared" si="32"/>
        <v>OK</v>
      </c>
      <c r="Q153" s="337" t="str">
        <f t="shared" si="32"/>
        <v>OK</v>
      </c>
      <c r="R153" s="337" t="str">
        <f t="shared" si="32"/>
        <v>OK</v>
      </c>
      <c r="S153" s="337" t="str">
        <f t="shared" si="32"/>
        <v>OK</v>
      </c>
      <c r="T153" s="337" t="str">
        <f t="shared" si="32"/>
        <v>OK</v>
      </c>
      <c r="U153" s="337" t="str">
        <f t="shared" si="32"/>
        <v>OK</v>
      </c>
      <c r="V153" s="337" t="str">
        <f t="shared" si="32"/>
        <v>OK</v>
      </c>
      <c r="W153" s="337" t="str">
        <f t="shared" si="32"/>
        <v>OK</v>
      </c>
      <c r="X153" s="337" t="str">
        <f t="shared" si="32"/>
        <v>OK</v>
      </c>
      <c r="Y153" s="337" t="str">
        <f t="shared" si="32"/>
        <v>OK</v>
      </c>
      <c r="Z153" s="337" t="str">
        <f t="shared" si="32"/>
        <v>OK</v>
      </c>
      <c r="AA153" s="337" t="str">
        <f t="shared" si="32"/>
        <v>OK</v>
      </c>
      <c r="AB153" s="337" t="str">
        <f t="shared" si="32"/>
        <v>OK</v>
      </c>
      <c r="AC153" s="337" t="str">
        <f t="shared" si="32"/>
        <v>OK</v>
      </c>
      <c r="AD153" s="337" t="str">
        <f t="shared" si="32"/>
        <v>OK</v>
      </c>
      <c r="AE153" s="337" t="str">
        <f t="shared" si="32"/>
        <v>OK</v>
      </c>
      <c r="AF153" s="337" t="str">
        <f t="shared" si="32"/>
        <v>OK</v>
      </c>
      <c r="AG153" s="337" t="str">
        <f t="shared" si="32"/>
        <v>OK</v>
      </c>
      <c r="AH153" s="337" t="str">
        <f t="shared" si="32"/>
        <v>OK</v>
      </c>
      <c r="AI153" s="337" t="str">
        <f t="shared" si="32"/>
        <v>OK</v>
      </c>
      <c r="AJ153" s="337" t="str">
        <f t="shared" si="32"/>
        <v>OK</v>
      </c>
      <c r="AK153" s="337" t="str">
        <f t="shared" si="32"/>
        <v>OK</v>
      </c>
      <c r="AL153" s="338" t="str">
        <f t="shared" si="32"/>
        <v>OK</v>
      </c>
    </row>
    <row r="154" spans="2:38" ht="13.5" hidden="1" customHeight="1" outlineLevel="2">
      <c r="B154" s="221" t="s">
        <v>523</v>
      </c>
      <c r="C154" s="222" t="s">
        <v>523</v>
      </c>
      <c r="D154" s="344" t="s">
        <v>530</v>
      </c>
      <c r="E154" s="333" t="s">
        <v>204</v>
      </c>
      <c r="F154" s="334" t="s">
        <v>204</v>
      </c>
      <c r="G154" s="334" t="s">
        <v>204</v>
      </c>
      <c r="H154" s="335" t="s">
        <v>204</v>
      </c>
      <c r="I154" s="336" t="str">
        <f>IF(I93&gt;=I94,"OK","BŁĄD")</f>
        <v>OK</v>
      </c>
      <c r="J154" s="337" t="str">
        <f t="shared" ref="J154:AL154" si="33">IF(J93&gt;=J94,"OK","BŁĄD")</f>
        <v>OK</v>
      </c>
      <c r="K154" s="337" t="str">
        <f t="shared" si="33"/>
        <v>OK</v>
      </c>
      <c r="L154" s="337" t="str">
        <f t="shared" si="33"/>
        <v>OK</v>
      </c>
      <c r="M154" s="337" t="str">
        <f t="shared" si="33"/>
        <v>OK</v>
      </c>
      <c r="N154" s="337" t="str">
        <f t="shared" si="33"/>
        <v>OK</v>
      </c>
      <c r="O154" s="337" t="str">
        <f t="shared" si="33"/>
        <v>OK</v>
      </c>
      <c r="P154" s="337" t="str">
        <f t="shared" si="33"/>
        <v>OK</v>
      </c>
      <c r="Q154" s="337" t="str">
        <f t="shared" si="33"/>
        <v>OK</v>
      </c>
      <c r="R154" s="337" t="str">
        <f t="shared" si="33"/>
        <v>OK</v>
      </c>
      <c r="S154" s="337" t="str">
        <f t="shared" si="33"/>
        <v>OK</v>
      </c>
      <c r="T154" s="337" t="str">
        <f t="shared" si="33"/>
        <v>OK</v>
      </c>
      <c r="U154" s="337" t="str">
        <f t="shared" si="33"/>
        <v>OK</v>
      </c>
      <c r="V154" s="337" t="str">
        <f t="shared" si="33"/>
        <v>OK</v>
      </c>
      <c r="W154" s="337" t="str">
        <f t="shared" si="33"/>
        <v>OK</v>
      </c>
      <c r="X154" s="337" t="str">
        <f t="shared" si="33"/>
        <v>OK</v>
      </c>
      <c r="Y154" s="337" t="str">
        <f t="shared" si="33"/>
        <v>OK</v>
      </c>
      <c r="Z154" s="337" t="str">
        <f t="shared" si="33"/>
        <v>OK</v>
      </c>
      <c r="AA154" s="337" t="str">
        <f t="shared" si="33"/>
        <v>OK</v>
      </c>
      <c r="AB154" s="337" t="str">
        <f t="shared" si="33"/>
        <v>OK</v>
      </c>
      <c r="AC154" s="337" t="str">
        <f t="shared" si="33"/>
        <v>OK</v>
      </c>
      <c r="AD154" s="337" t="str">
        <f t="shared" si="33"/>
        <v>OK</v>
      </c>
      <c r="AE154" s="337" t="str">
        <f t="shared" si="33"/>
        <v>OK</v>
      </c>
      <c r="AF154" s="337" t="str">
        <f t="shared" si="33"/>
        <v>OK</v>
      </c>
      <c r="AG154" s="337" t="str">
        <f t="shared" si="33"/>
        <v>OK</v>
      </c>
      <c r="AH154" s="337" t="str">
        <f t="shared" si="33"/>
        <v>OK</v>
      </c>
      <c r="AI154" s="337" t="str">
        <f t="shared" si="33"/>
        <v>OK</v>
      </c>
      <c r="AJ154" s="337" t="str">
        <f t="shared" si="33"/>
        <v>OK</v>
      </c>
      <c r="AK154" s="337" t="str">
        <f t="shared" si="33"/>
        <v>OK</v>
      </c>
      <c r="AL154" s="338" t="str">
        <f t="shared" si="33"/>
        <v>OK</v>
      </c>
    </row>
    <row r="155" spans="2:38" ht="13.5" hidden="1" customHeight="1" outlineLevel="2">
      <c r="B155" s="221" t="s">
        <v>531</v>
      </c>
      <c r="C155" s="222" t="s">
        <v>531</v>
      </c>
      <c r="D155" s="344" t="s">
        <v>532</v>
      </c>
      <c r="E155" s="333" t="s">
        <v>204</v>
      </c>
      <c r="F155" s="334" t="s">
        <v>204</v>
      </c>
      <c r="G155" s="334" t="s">
        <v>204</v>
      </c>
      <c r="H155" s="335" t="s">
        <v>204</v>
      </c>
      <c r="I155" s="336" t="str">
        <f t="shared" ref="I155:AL155" si="34">IF(I96&gt;=I98,"OK","BŁĄD")</f>
        <v>OK</v>
      </c>
      <c r="J155" s="337" t="str">
        <f t="shared" si="34"/>
        <v>OK</v>
      </c>
      <c r="K155" s="337" t="str">
        <f t="shared" si="34"/>
        <v>OK</v>
      </c>
      <c r="L155" s="337" t="str">
        <f t="shared" si="34"/>
        <v>OK</v>
      </c>
      <c r="M155" s="337" t="str">
        <f t="shared" si="34"/>
        <v>OK</v>
      </c>
      <c r="N155" s="337" t="str">
        <f t="shared" si="34"/>
        <v>OK</v>
      </c>
      <c r="O155" s="337" t="str">
        <f t="shared" si="34"/>
        <v>OK</v>
      </c>
      <c r="P155" s="337" t="str">
        <f t="shared" si="34"/>
        <v>OK</v>
      </c>
      <c r="Q155" s="337" t="str">
        <f t="shared" si="34"/>
        <v>OK</v>
      </c>
      <c r="R155" s="337" t="str">
        <f t="shared" si="34"/>
        <v>OK</v>
      </c>
      <c r="S155" s="337" t="str">
        <f t="shared" si="34"/>
        <v>OK</v>
      </c>
      <c r="T155" s="337" t="str">
        <f t="shared" si="34"/>
        <v>OK</v>
      </c>
      <c r="U155" s="337" t="str">
        <f t="shared" si="34"/>
        <v>OK</v>
      </c>
      <c r="V155" s="337" t="str">
        <f t="shared" si="34"/>
        <v>OK</v>
      </c>
      <c r="W155" s="337" t="str">
        <f t="shared" si="34"/>
        <v>OK</v>
      </c>
      <c r="X155" s="337" t="str">
        <f t="shared" si="34"/>
        <v>OK</v>
      </c>
      <c r="Y155" s="337" t="str">
        <f t="shared" si="34"/>
        <v>OK</v>
      </c>
      <c r="Z155" s="337" t="str">
        <f t="shared" si="34"/>
        <v>OK</v>
      </c>
      <c r="AA155" s="337" t="str">
        <f t="shared" si="34"/>
        <v>OK</v>
      </c>
      <c r="AB155" s="337" t="str">
        <f t="shared" si="34"/>
        <v>OK</v>
      </c>
      <c r="AC155" s="337" t="str">
        <f t="shared" si="34"/>
        <v>OK</v>
      </c>
      <c r="AD155" s="337" t="str">
        <f t="shared" si="34"/>
        <v>OK</v>
      </c>
      <c r="AE155" s="337" t="str">
        <f t="shared" si="34"/>
        <v>OK</v>
      </c>
      <c r="AF155" s="337" t="str">
        <f t="shared" si="34"/>
        <v>OK</v>
      </c>
      <c r="AG155" s="337" t="str">
        <f t="shared" si="34"/>
        <v>OK</v>
      </c>
      <c r="AH155" s="337" t="str">
        <f t="shared" si="34"/>
        <v>OK</v>
      </c>
      <c r="AI155" s="337" t="str">
        <f t="shared" si="34"/>
        <v>OK</v>
      </c>
      <c r="AJ155" s="337" t="str">
        <f t="shared" si="34"/>
        <v>OK</v>
      </c>
      <c r="AK155" s="337" t="str">
        <f t="shared" si="34"/>
        <v>OK</v>
      </c>
      <c r="AL155" s="338" t="str">
        <f t="shared" si="34"/>
        <v>OK</v>
      </c>
    </row>
    <row r="156" spans="2:38" ht="13.5" hidden="1" customHeight="1" outlineLevel="2">
      <c r="B156" s="221" t="s">
        <v>533</v>
      </c>
      <c r="C156" s="222" t="s">
        <v>533</v>
      </c>
      <c r="D156" s="344" t="s">
        <v>534</v>
      </c>
      <c r="E156" s="333" t="s">
        <v>204</v>
      </c>
      <c r="F156" s="334" t="s">
        <v>204</v>
      </c>
      <c r="G156" s="334" t="s">
        <v>204</v>
      </c>
      <c r="H156" s="335" t="s">
        <v>204</v>
      </c>
      <c r="I156" s="336" t="str">
        <f t="shared" ref="I156:AL156" si="35">IF(I99&gt;=I25,"OK","BŁĄD")</f>
        <v>OK</v>
      </c>
      <c r="J156" s="337" t="str">
        <f t="shared" si="35"/>
        <v>OK</v>
      </c>
      <c r="K156" s="337" t="str">
        <f t="shared" si="35"/>
        <v>OK</v>
      </c>
      <c r="L156" s="337" t="str">
        <f t="shared" si="35"/>
        <v>OK</v>
      </c>
      <c r="M156" s="337" t="str">
        <f t="shared" si="35"/>
        <v>OK</v>
      </c>
      <c r="N156" s="337" t="str">
        <f t="shared" si="35"/>
        <v>OK</v>
      </c>
      <c r="O156" s="337" t="str">
        <f t="shared" si="35"/>
        <v>OK</v>
      </c>
      <c r="P156" s="337" t="str">
        <f t="shared" si="35"/>
        <v>OK</v>
      </c>
      <c r="Q156" s="337" t="str">
        <f t="shared" si="35"/>
        <v>OK</v>
      </c>
      <c r="R156" s="337" t="str">
        <f t="shared" si="35"/>
        <v>OK</v>
      </c>
      <c r="S156" s="337" t="str">
        <f t="shared" si="35"/>
        <v>OK</v>
      </c>
      <c r="T156" s="337" t="str">
        <f t="shared" si="35"/>
        <v>OK</v>
      </c>
      <c r="U156" s="337" t="str">
        <f t="shared" si="35"/>
        <v>OK</v>
      </c>
      <c r="V156" s="337" t="str">
        <f t="shared" si="35"/>
        <v>OK</v>
      </c>
      <c r="W156" s="337" t="str">
        <f t="shared" si="35"/>
        <v>OK</v>
      </c>
      <c r="X156" s="337" t="str">
        <f t="shared" si="35"/>
        <v>OK</v>
      </c>
      <c r="Y156" s="337" t="str">
        <f t="shared" si="35"/>
        <v>OK</v>
      </c>
      <c r="Z156" s="337" t="str">
        <f t="shared" si="35"/>
        <v>OK</v>
      </c>
      <c r="AA156" s="337" t="str">
        <f t="shared" si="35"/>
        <v>OK</v>
      </c>
      <c r="AB156" s="337" t="str">
        <f t="shared" si="35"/>
        <v>OK</v>
      </c>
      <c r="AC156" s="337" t="str">
        <f t="shared" si="35"/>
        <v>OK</v>
      </c>
      <c r="AD156" s="337" t="str">
        <f t="shared" si="35"/>
        <v>OK</v>
      </c>
      <c r="AE156" s="337" t="str">
        <f t="shared" si="35"/>
        <v>OK</v>
      </c>
      <c r="AF156" s="337" t="str">
        <f t="shared" si="35"/>
        <v>OK</v>
      </c>
      <c r="AG156" s="337" t="str">
        <f t="shared" si="35"/>
        <v>OK</v>
      </c>
      <c r="AH156" s="337" t="str">
        <f t="shared" si="35"/>
        <v>OK</v>
      </c>
      <c r="AI156" s="337" t="str">
        <f t="shared" si="35"/>
        <v>OK</v>
      </c>
      <c r="AJ156" s="337" t="str">
        <f t="shared" si="35"/>
        <v>OK</v>
      </c>
      <c r="AK156" s="337" t="str">
        <f t="shared" si="35"/>
        <v>OK</v>
      </c>
      <c r="AL156" s="338" t="str">
        <f t="shared" si="35"/>
        <v>OK</v>
      </c>
    </row>
    <row r="157" spans="2:38" ht="13.5" hidden="1" customHeight="1" outlineLevel="2">
      <c r="B157" s="221" t="s">
        <v>535</v>
      </c>
      <c r="C157" s="222" t="s">
        <v>535</v>
      </c>
      <c r="D157" s="344" t="s">
        <v>536</v>
      </c>
      <c r="E157" s="333" t="s">
        <v>204</v>
      </c>
      <c r="F157" s="334" t="s">
        <v>204</v>
      </c>
      <c r="G157" s="334" t="s">
        <v>204</v>
      </c>
      <c r="H157" s="335" t="s">
        <v>204</v>
      </c>
      <c r="I157" s="336" t="str">
        <f t="shared" ref="I157:AL157" si="36">IF(I106&gt;=(I107+I108+I109),"OK","BŁĄD")</f>
        <v>OK</v>
      </c>
      <c r="J157" s="337" t="str">
        <f t="shared" si="36"/>
        <v>OK</v>
      </c>
      <c r="K157" s="337" t="str">
        <f t="shared" si="36"/>
        <v>OK</v>
      </c>
      <c r="L157" s="337" t="str">
        <f t="shared" si="36"/>
        <v>OK</v>
      </c>
      <c r="M157" s="337" t="str">
        <f t="shared" si="36"/>
        <v>OK</v>
      </c>
      <c r="N157" s="337" t="str">
        <f t="shared" si="36"/>
        <v>OK</v>
      </c>
      <c r="O157" s="337" t="str">
        <f t="shared" si="36"/>
        <v>OK</v>
      </c>
      <c r="P157" s="337" t="str">
        <f t="shared" si="36"/>
        <v>OK</v>
      </c>
      <c r="Q157" s="337" t="str">
        <f t="shared" si="36"/>
        <v>OK</v>
      </c>
      <c r="R157" s="337" t="str">
        <f t="shared" si="36"/>
        <v>OK</v>
      </c>
      <c r="S157" s="337" t="str">
        <f t="shared" si="36"/>
        <v>OK</v>
      </c>
      <c r="T157" s="337" t="str">
        <f t="shared" si="36"/>
        <v>OK</v>
      </c>
      <c r="U157" s="337" t="str">
        <f t="shared" si="36"/>
        <v>OK</v>
      </c>
      <c r="V157" s="337" t="str">
        <f t="shared" si="36"/>
        <v>OK</v>
      </c>
      <c r="W157" s="337" t="str">
        <f t="shared" si="36"/>
        <v>OK</v>
      </c>
      <c r="X157" s="337" t="str">
        <f t="shared" si="36"/>
        <v>OK</v>
      </c>
      <c r="Y157" s="337" t="str">
        <f t="shared" si="36"/>
        <v>OK</v>
      </c>
      <c r="Z157" s="337" t="str">
        <f t="shared" si="36"/>
        <v>OK</v>
      </c>
      <c r="AA157" s="337" t="str">
        <f t="shared" si="36"/>
        <v>OK</v>
      </c>
      <c r="AB157" s="337" t="str">
        <f t="shared" si="36"/>
        <v>OK</v>
      </c>
      <c r="AC157" s="337" t="str">
        <f t="shared" si="36"/>
        <v>OK</v>
      </c>
      <c r="AD157" s="337" t="str">
        <f t="shared" si="36"/>
        <v>OK</v>
      </c>
      <c r="AE157" s="337" t="str">
        <f t="shared" si="36"/>
        <v>OK</v>
      </c>
      <c r="AF157" s="337" t="str">
        <f t="shared" si="36"/>
        <v>OK</v>
      </c>
      <c r="AG157" s="337" t="str">
        <f t="shared" si="36"/>
        <v>OK</v>
      </c>
      <c r="AH157" s="337" t="str">
        <f t="shared" si="36"/>
        <v>OK</v>
      </c>
      <c r="AI157" s="337" t="str">
        <f t="shared" si="36"/>
        <v>OK</v>
      </c>
      <c r="AJ157" s="337" t="str">
        <f t="shared" si="36"/>
        <v>OK</v>
      </c>
      <c r="AK157" s="337" t="str">
        <f t="shared" si="36"/>
        <v>OK</v>
      </c>
      <c r="AL157" s="338" t="str">
        <f t="shared" si="36"/>
        <v>OK</v>
      </c>
    </row>
    <row r="158" spans="2:38" ht="13.5" hidden="1" customHeight="1" outlineLevel="2">
      <c r="B158" s="221" t="s">
        <v>531</v>
      </c>
      <c r="C158" s="222" t="s">
        <v>531</v>
      </c>
      <c r="D158" s="344" t="s">
        <v>537</v>
      </c>
      <c r="E158" s="333" t="s">
        <v>204</v>
      </c>
      <c r="F158" s="334" t="s">
        <v>204</v>
      </c>
      <c r="G158" s="334" t="s">
        <v>204</v>
      </c>
      <c r="H158" s="335" t="s">
        <v>204</v>
      </c>
      <c r="I158" s="336" t="str">
        <f>IF(I112&gt;=I113,"OK","BŁĄD")</f>
        <v>OK</v>
      </c>
      <c r="J158" s="337" t="str">
        <f t="shared" ref="J158:AL158" si="37">IF(J112&gt;=J113,"OK","BŁĄD")</f>
        <v>OK</v>
      </c>
      <c r="K158" s="337" t="str">
        <f t="shared" si="37"/>
        <v>OK</v>
      </c>
      <c r="L158" s="337" t="str">
        <f t="shared" si="37"/>
        <v>OK</v>
      </c>
      <c r="M158" s="337" t="str">
        <f t="shared" si="37"/>
        <v>OK</v>
      </c>
      <c r="N158" s="337" t="str">
        <f t="shared" si="37"/>
        <v>OK</v>
      </c>
      <c r="O158" s="337" t="str">
        <f t="shared" si="37"/>
        <v>OK</v>
      </c>
      <c r="P158" s="337" t="str">
        <f t="shared" si="37"/>
        <v>OK</v>
      </c>
      <c r="Q158" s="337" t="str">
        <f t="shared" si="37"/>
        <v>OK</v>
      </c>
      <c r="R158" s="337" t="str">
        <f t="shared" si="37"/>
        <v>OK</v>
      </c>
      <c r="S158" s="337" t="str">
        <f t="shared" si="37"/>
        <v>OK</v>
      </c>
      <c r="T158" s="337" t="str">
        <f t="shared" si="37"/>
        <v>OK</v>
      </c>
      <c r="U158" s="337" t="str">
        <f t="shared" si="37"/>
        <v>OK</v>
      </c>
      <c r="V158" s="337" t="str">
        <f t="shared" si="37"/>
        <v>OK</v>
      </c>
      <c r="W158" s="337" t="str">
        <f t="shared" si="37"/>
        <v>OK</v>
      </c>
      <c r="X158" s="337" t="str">
        <f t="shared" si="37"/>
        <v>OK</v>
      </c>
      <c r="Y158" s="337" t="str">
        <f t="shared" si="37"/>
        <v>OK</v>
      </c>
      <c r="Z158" s="337" t="str">
        <f t="shared" si="37"/>
        <v>OK</v>
      </c>
      <c r="AA158" s="337" t="str">
        <f t="shared" si="37"/>
        <v>OK</v>
      </c>
      <c r="AB158" s="337" t="str">
        <f t="shared" si="37"/>
        <v>OK</v>
      </c>
      <c r="AC158" s="337" t="str">
        <f t="shared" si="37"/>
        <v>OK</v>
      </c>
      <c r="AD158" s="337" t="str">
        <f t="shared" si="37"/>
        <v>OK</v>
      </c>
      <c r="AE158" s="337" t="str">
        <f t="shared" si="37"/>
        <v>OK</v>
      </c>
      <c r="AF158" s="337" t="str">
        <f t="shared" si="37"/>
        <v>OK</v>
      </c>
      <c r="AG158" s="337" t="str">
        <f t="shared" si="37"/>
        <v>OK</v>
      </c>
      <c r="AH158" s="337" t="str">
        <f t="shared" si="37"/>
        <v>OK</v>
      </c>
      <c r="AI158" s="337" t="str">
        <f t="shared" si="37"/>
        <v>OK</v>
      </c>
      <c r="AJ158" s="337" t="str">
        <f t="shared" si="37"/>
        <v>OK</v>
      </c>
      <c r="AK158" s="337" t="str">
        <f t="shared" si="37"/>
        <v>OK</v>
      </c>
      <c r="AL158" s="338" t="str">
        <f t="shared" si="37"/>
        <v>OK</v>
      </c>
    </row>
    <row r="159" spans="2:38" ht="13.5" hidden="1" customHeight="1" outlineLevel="2">
      <c r="B159" s="221" t="s">
        <v>538</v>
      </c>
      <c r="C159" s="222" t="s">
        <v>538</v>
      </c>
      <c r="D159" s="344" t="s">
        <v>539</v>
      </c>
      <c r="E159" s="333" t="s">
        <v>204</v>
      </c>
      <c r="F159" s="334" t="s">
        <v>204</v>
      </c>
      <c r="G159" s="334" t="s">
        <v>204</v>
      </c>
      <c r="H159" s="335" t="s">
        <v>204</v>
      </c>
      <c r="I159" s="336" t="str">
        <f t="shared" ref="I159:AL159" si="38">IF(I23&gt;=I24,"OK","BŁĄD")</f>
        <v>OK</v>
      </c>
      <c r="J159" s="337" t="str">
        <f t="shared" si="38"/>
        <v>OK</v>
      </c>
      <c r="K159" s="337" t="str">
        <f t="shared" si="38"/>
        <v>OK</v>
      </c>
      <c r="L159" s="337" t="str">
        <f t="shared" si="38"/>
        <v>OK</v>
      </c>
      <c r="M159" s="337" t="str">
        <f t="shared" si="38"/>
        <v>OK</v>
      </c>
      <c r="N159" s="337" t="str">
        <f t="shared" si="38"/>
        <v>OK</v>
      </c>
      <c r="O159" s="337" t="str">
        <f t="shared" si="38"/>
        <v>OK</v>
      </c>
      <c r="P159" s="337" t="str">
        <f t="shared" si="38"/>
        <v>OK</v>
      </c>
      <c r="Q159" s="337" t="str">
        <f t="shared" si="38"/>
        <v>OK</v>
      </c>
      <c r="R159" s="337" t="str">
        <f t="shared" si="38"/>
        <v>OK</v>
      </c>
      <c r="S159" s="337" t="str">
        <f t="shared" si="38"/>
        <v>OK</v>
      </c>
      <c r="T159" s="337" t="str">
        <f t="shared" si="38"/>
        <v>OK</v>
      </c>
      <c r="U159" s="337" t="str">
        <f t="shared" si="38"/>
        <v>OK</v>
      </c>
      <c r="V159" s="337" t="str">
        <f t="shared" si="38"/>
        <v>OK</v>
      </c>
      <c r="W159" s="337" t="str">
        <f t="shared" si="38"/>
        <v>OK</v>
      </c>
      <c r="X159" s="337" t="str">
        <f t="shared" si="38"/>
        <v>OK</v>
      </c>
      <c r="Y159" s="337" t="str">
        <f t="shared" si="38"/>
        <v>OK</v>
      </c>
      <c r="Z159" s="337" t="str">
        <f t="shared" si="38"/>
        <v>OK</v>
      </c>
      <c r="AA159" s="337" t="str">
        <f t="shared" si="38"/>
        <v>OK</v>
      </c>
      <c r="AB159" s="337" t="str">
        <f t="shared" si="38"/>
        <v>OK</v>
      </c>
      <c r="AC159" s="337" t="str">
        <f t="shared" si="38"/>
        <v>OK</v>
      </c>
      <c r="AD159" s="337" t="str">
        <f t="shared" si="38"/>
        <v>OK</v>
      </c>
      <c r="AE159" s="337" t="str">
        <f t="shared" si="38"/>
        <v>OK</v>
      </c>
      <c r="AF159" s="337" t="str">
        <f t="shared" si="38"/>
        <v>OK</v>
      </c>
      <c r="AG159" s="337" t="str">
        <f t="shared" si="38"/>
        <v>OK</v>
      </c>
      <c r="AH159" s="337" t="str">
        <f t="shared" si="38"/>
        <v>OK</v>
      </c>
      <c r="AI159" s="337" t="str">
        <f t="shared" si="38"/>
        <v>OK</v>
      </c>
      <c r="AJ159" s="337" t="str">
        <f t="shared" si="38"/>
        <v>OK</v>
      </c>
      <c r="AK159" s="337" t="str">
        <f t="shared" si="38"/>
        <v>OK</v>
      </c>
      <c r="AL159" s="338" t="str">
        <f t="shared" si="38"/>
        <v>OK</v>
      </c>
    </row>
    <row r="160" spans="2:38" ht="13.5" hidden="1" customHeight="1" outlineLevel="2">
      <c r="B160" s="221" t="s">
        <v>540</v>
      </c>
      <c r="C160" s="222" t="s">
        <v>540</v>
      </c>
      <c r="D160" s="344" t="s">
        <v>541</v>
      </c>
      <c r="E160" s="333" t="s">
        <v>204</v>
      </c>
      <c r="F160" s="334" t="s">
        <v>204</v>
      </c>
      <c r="G160" s="334" t="s">
        <v>204</v>
      </c>
      <c r="H160" s="335" t="s">
        <v>204</v>
      </c>
      <c r="I160" s="336" t="str">
        <f t="shared" ref="I160:AL160" si="39">IF(I23&gt;=I109,"OK","BŁĄD")</f>
        <v>OK</v>
      </c>
      <c r="J160" s="337" t="str">
        <f t="shared" si="39"/>
        <v>OK</v>
      </c>
      <c r="K160" s="337" t="str">
        <f t="shared" si="39"/>
        <v>OK</v>
      </c>
      <c r="L160" s="337" t="str">
        <f t="shared" si="39"/>
        <v>OK</v>
      </c>
      <c r="M160" s="337" t="str">
        <f t="shared" si="39"/>
        <v>OK</v>
      </c>
      <c r="N160" s="337" t="str">
        <f t="shared" si="39"/>
        <v>OK</v>
      </c>
      <c r="O160" s="337" t="str">
        <f t="shared" si="39"/>
        <v>OK</v>
      </c>
      <c r="P160" s="337" t="str">
        <f t="shared" si="39"/>
        <v>OK</v>
      </c>
      <c r="Q160" s="337" t="str">
        <f t="shared" si="39"/>
        <v>OK</v>
      </c>
      <c r="R160" s="337" t="str">
        <f t="shared" si="39"/>
        <v>OK</v>
      </c>
      <c r="S160" s="337" t="str">
        <f t="shared" si="39"/>
        <v>OK</v>
      </c>
      <c r="T160" s="337" t="str">
        <f t="shared" si="39"/>
        <v>OK</v>
      </c>
      <c r="U160" s="337" t="str">
        <f t="shared" si="39"/>
        <v>OK</v>
      </c>
      <c r="V160" s="337" t="str">
        <f t="shared" si="39"/>
        <v>OK</v>
      </c>
      <c r="W160" s="337" t="str">
        <f t="shared" si="39"/>
        <v>OK</v>
      </c>
      <c r="X160" s="337" t="str">
        <f t="shared" si="39"/>
        <v>OK</v>
      </c>
      <c r="Y160" s="337" t="str">
        <f t="shared" si="39"/>
        <v>OK</v>
      </c>
      <c r="Z160" s="337" t="str">
        <f t="shared" si="39"/>
        <v>OK</v>
      </c>
      <c r="AA160" s="337" t="str">
        <f t="shared" si="39"/>
        <v>OK</v>
      </c>
      <c r="AB160" s="337" t="str">
        <f t="shared" si="39"/>
        <v>OK</v>
      </c>
      <c r="AC160" s="337" t="str">
        <f t="shared" si="39"/>
        <v>OK</v>
      </c>
      <c r="AD160" s="337" t="str">
        <f t="shared" si="39"/>
        <v>OK</v>
      </c>
      <c r="AE160" s="337" t="str">
        <f t="shared" si="39"/>
        <v>OK</v>
      </c>
      <c r="AF160" s="337" t="str">
        <f t="shared" si="39"/>
        <v>OK</v>
      </c>
      <c r="AG160" s="337" t="str">
        <f t="shared" si="39"/>
        <v>OK</v>
      </c>
      <c r="AH160" s="337" t="str">
        <f t="shared" si="39"/>
        <v>OK</v>
      </c>
      <c r="AI160" s="337" t="str">
        <f t="shared" si="39"/>
        <v>OK</v>
      </c>
      <c r="AJ160" s="337" t="str">
        <f t="shared" si="39"/>
        <v>OK</v>
      </c>
      <c r="AK160" s="337" t="str">
        <f t="shared" si="39"/>
        <v>OK</v>
      </c>
      <c r="AL160" s="338" t="str">
        <f t="shared" si="39"/>
        <v>OK</v>
      </c>
    </row>
    <row r="161" spans="2:38" ht="13.5" hidden="1" customHeight="1" outlineLevel="2">
      <c r="B161" s="221" t="s">
        <v>542</v>
      </c>
      <c r="C161" s="222" t="s">
        <v>542</v>
      </c>
      <c r="D161" s="344" t="s">
        <v>543</v>
      </c>
      <c r="E161" s="333" t="s">
        <v>204</v>
      </c>
      <c r="F161" s="334" t="s">
        <v>204</v>
      </c>
      <c r="G161" s="334" t="s">
        <v>204</v>
      </c>
      <c r="H161" s="335" t="s">
        <v>204</v>
      </c>
      <c r="I161" s="336" t="str">
        <f t="shared" ref="I161:AL162" si="40">IF(I26&gt;=I27,"OK","BŁĄD")</f>
        <v>OK</v>
      </c>
      <c r="J161" s="337" t="str">
        <f t="shared" si="40"/>
        <v>OK</v>
      </c>
      <c r="K161" s="337" t="str">
        <f t="shared" si="40"/>
        <v>OK</v>
      </c>
      <c r="L161" s="337" t="str">
        <f t="shared" si="40"/>
        <v>OK</v>
      </c>
      <c r="M161" s="337" t="str">
        <f t="shared" si="40"/>
        <v>OK</v>
      </c>
      <c r="N161" s="337" t="str">
        <f t="shared" si="40"/>
        <v>OK</v>
      </c>
      <c r="O161" s="337" t="str">
        <f t="shared" si="40"/>
        <v>OK</v>
      </c>
      <c r="P161" s="337" t="str">
        <f t="shared" si="40"/>
        <v>OK</v>
      </c>
      <c r="Q161" s="337" t="str">
        <f t="shared" si="40"/>
        <v>OK</v>
      </c>
      <c r="R161" s="337" t="str">
        <f t="shared" si="40"/>
        <v>OK</v>
      </c>
      <c r="S161" s="337" t="str">
        <f t="shared" si="40"/>
        <v>OK</v>
      </c>
      <c r="T161" s="337" t="str">
        <f t="shared" si="40"/>
        <v>OK</v>
      </c>
      <c r="U161" s="337" t="str">
        <f t="shared" si="40"/>
        <v>OK</v>
      </c>
      <c r="V161" s="337" t="str">
        <f t="shared" si="40"/>
        <v>OK</v>
      </c>
      <c r="W161" s="337" t="str">
        <f t="shared" si="40"/>
        <v>OK</v>
      </c>
      <c r="X161" s="337" t="str">
        <f t="shared" si="40"/>
        <v>OK</v>
      </c>
      <c r="Y161" s="337" t="str">
        <f t="shared" si="40"/>
        <v>OK</v>
      </c>
      <c r="Z161" s="337" t="str">
        <f t="shared" si="40"/>
        <v>OK</v>
      </c>
      <c r="AA161" s="337" t="str">
        <f t="shared" si="40"/>
        <v>OK</v>
      </c>
      <c r="AB161" s="337" t="str">
        <f t="shared" si="40"/>
        <v>OK</v>
      </c>
      <c r="AC161" s="337" t="str">
        <f t="shared" si="40"/>
        <v>OK</v>
      </c>
      <c r="AD161" s="337" t="str">
        <f t="shared" si="40"/>
        <v>OK</v>
      </c>
      <c r="AE161" s="337" t="str">
        <f t="shared" si="40"/>
        <v>OK</v>
      </c>
      <c r="AF161" s="337" t="str">
        <f t="shared" si="40"/>
        <v>OK</v>
      </c>
      <c r="AG161" s="337" t="str">
        <f t="shared" si="40"/>
        <v>OK</v>
      </c>
      <c r="AH161" s="337" t="str">
        <f t="shared" si="40"/>
        <v>OK</v>
      </c>
      <c r="AI161" s="337" t="str">
        <f t="shared" si="40"/>
        <v>OK</v>
      </c>
      <c r="AJ161" s="337" t="str">
        <f t="shared" si="40"/>
        <v>OK</v>
      </c>
      <c r="AK161" s="337" t="str">
        <f t="shared" si="40"/>
        <v>OK</v>
      </c>
      <c r="AL161" s="338" t="str">
        <f t="shared" si="40"/>
        <v>OK</v>
      </c>
    </row>
    <row r="162" spans="2:38" ht="13.5" hidden="1" customHeight="1" outlineLevel="2">
      <c r="B162" s="221" t="s">
        <v>542</v>
      </c>
      <c r="C162" s="222" t="s">
        <v>542</v>
      </c>
      <c r="D162" s="344" t="s">
        <v>544</v>
      </c>
      <c r="E162" s="333" t="s">
        <v>204</v>
      </c>
      <c r="F162" s="334" t="s">
        <v>204</v>
      </c>
      <c r="G162" s="334" t="s">
        <v>204</v>
      </c>
      <c r="H162" s="335" t="s">
        <v>204</v>
      </c>
      <c r="I162" s="336" t="str">
        <f>IF(I27&gt;=(I28+I29),"OK","BŁĄD")</f>
        <v>OK</v>
      </c>
      <c r="J162" s="337" t="str">
        <f t="shared" si="40"/>
        <v>OK</v>
      </c>
      <c r="K162" s="337" t="str">
        <f t="shared" si="40"/>
        <v>OK</v>
      </c>
      <c r="L162" s="337" t="str">
        <f t="shared" si="40"/>
        <v>OK</v>
      </c>
      <c r="M162" s="337" t="str">
        <f t="shared" si="40"/>
        <v>OK</v>
      </c>
      <c r="N162" s="337" t="str">
        <f t="shared" si="40"/>
        <v>OK</v>
      </c>
      <c r="O162" s="337" t="str">
        <f t="shared" si="40"/>
        <v>OK</v>
      </c>
      <c r="P162" s="337" t="str">
        <f t="shared" si="40"/>
        <v>OK</v>
      </c>
      <c r="Q162" s="337" t="str">
        <f t="shared" si="40"/>
        <v>OK</v>
      </c>
      <c r="R162" s="337" t="str">
        <f t="shared" si="40"/>
        <v>OK</v>
      </c>
      <c r="S162" s="337" t="str">
        <f t="shared" si="40"/>
        <v>OK</v>
      </c>
      <c r="T162" s="337" t="str">
        <f t="shared" si="40"/>
        <v>OK</v>
      </c>
      <c r="U162" s="337" t="str">
        <f t="shared" si="40"/>
        <v>OK</v>
      </c>
      <c r="V162" s="337" t="str">
        <f t="shared" si="40"/>
        <v>OK</v>
      </c>
      <c r="W162" s="337" t="str">
        <f t="shared" si="40"/>
        <v>OK</v>
      </c>
      <c r="X162" s="337" t="str">
        <f t="shared" si="40"/>
        <v>OK</v>
      </c>
      <c r="Y162" s="337" t="str">
        <f t="shared" si="40"/>
        <v>OK</v>
      </c>
      <c r="Z162" s="337" t="str">
        <f t="shared" si="40"/>
        <v>OK</v>
      </c>
      <c r="AA162" s="337" t="str">
        <f t="shared" si="40"/>
        <v>OK</v>
      </c>
      <c r="AB162" s="337" t="str">
        <f t="shared" si="40"/>
        <v>OK</v>
      </c>
      <c r="AC162" s="337" t="str">
        <f t="shared" si="40"/>
        <v>OK</v>
      </c>
      <c r="AD162" s="337" t="str">
        <f t="shared" si="40"/>
        <v>OK</v>
      </c>
      <c r="AE162" s="337" t="str">
        <f t="shared" si="40"/>
        <v>OK</v>
      </c>
      <c r="AF162" s="337" t="str">
        <f t="shared" si="40"/>
        <v>OK</v>
      </c>
      <c r="AG162" s="337" t="str">
        <f t="shared" si="40"/>
        <v>OK</v>
      </c>
      <c r="AH162" s="337" t="str">
        <f t="shared" si="40"/>
        <v>OK</v>
      </c>
      <c r="AI162" s="337" t="str">
        <f t="shared" si="40"/>
        <v>OK</v>
      </c>
      <c r="AJ162" s="337" t="str">
        <f t="shared" si="40"/>
        <v>OK</v>
      </c>
      <c r="AK162" s="337" t="str">
        <f t="shared" si="40"/>
        <v>OK</v>
      </c>
      <c r="AL162" s="338" t="str">
        <f t="shared" si="40"/>
        <v>OK</v>
      </c>
    </row>
    <row r="163" spans="2:38" ht="13.5" hidden="1" customHeight="1" outlineLevel="2">
      <c r="B163" s="221" t="s">
        <v>545</v>
      </c>
      <c r="C163" s="222" t="s">
        <v>545</v>
      </c>
      <c r="D163" s="344" t="s">
        <v>546</v>
      </c>
      <c r="E163" s="333" t="s">
        <v>204</v>
      </c>
      <c r="F163" s="334" t="s">
        <v>204</v>
      </c>
      <c r="G163" s="334" t="s">
        <v>204</v>
      </c>
      <c r="H163" s="335" t="s">
        <v>204</v>
      </c>
      <c r="I163" s="336" t="str">
        <f t="shared" ref="I163:AL163" si="41">IF(I22&gt;=(I23+I25+I26),"OK","BŁĄD")</f>
        <v>OK</v>
      </c>
      <c r="J163" s="337" t="str">
        <f t="shared" si="41"/>
        <v>OK</v>
      </c>
      <c r="K163" s="337" t="str">
        <f t="shared" si="41"/>
        <v>OK</v>
      </c>
      <c r="L163" s="337" t="str">
        <f t="shared" si="41"/>
        <v>OK</v>
      </c>
      <c r="M163" s="337" t="str">
        <f t="shared" si="41"/>
        <v>OK</v>
      </c>
      <c r="N163" s="337" t="str">
        <f t="shared" si="41"/>
        <v>OK</v>
      </c>
      <c r="O163" s="337" t="str">
        <f t="shared" si="41"/>
        <v>OK</v>
      </c>
      <c r="P163" s="337" t="str">
        <f t="shared" si="41"/>
        <v>OK</v>
      </c>
      <c r="Q163" s="337" t="str">
        <f t="shared" si="41"/>
        <v>OK</v>
      </c>
      <c r="R163" s="337" t="str">
        <f t="shared" si="41"/>
        <v>OK</v>
      </c>
      <c r="S163" s="337" t="str">
        <f t="shared" si="41"/>
        <v>OK</v>
      </c>
      <c r="T163" s="337" t="str">
        <f t="shared" si="41"/>
        <v>OK</v>
      </c>
      <c r="U163" s="337" t="str">
        <f t="shared" si="41"/>
        <v>OK</v>
      </c>
      <c r="V163" s="337" t="str">
        <f t="shared" si="41"/>
        <v>OK</v>
      </c>
      <c r="W163" s="337" t="str">
        <f t="shared" si="41"/>
        <v>OK</v>
      </c>
      <c r="X163" s="337" t="str">
        <f t="shared" si="41"/>
        <v>OK</v>
      </c>
      <c r="Y163" s="337" t="str">
        <f t="shared" si="41"/>
        <v>OK</v>
      </c>
      <c r="Z163" s="337" t="str">
        <f t="shared" si="41"/>
        <v>OK</v>
      </c>
      <c r="AA163" s="337" t="str">
        <f t="shared" si="41"/>
        <v>OK</v>
      </c>
      <c r="AB163" s="337" t="str">
        <f t="shared" si="41"/>
        <v>OK</v>
      </c>
      <c r="AC163" s="337" t="str">
        <f t="shared" si="41"/>
        <v>OK</v>
      </c>
      <c r="AD163" s="337" t="str">
        <f t="shared" si="41"/>
        <v>OK</v>
      </c>
      <c r="AE163" s="337" t="str">
        <f t="shared" si="41"/>
        <v>OK</v>
      </c>
      <c r="AF163" s="337" t="str">
        <f t="shared" si="41"/>
        <v>OK</v>
      </c>
      <c r="AG163" s="337" t="str">
        <f t="shared" si="41"/>
        <v>OK</v>
      </c>
      <c r="AH163" s="337" t="str">
        <f t="shared" si="41"/>
        <v>OK</v>
      </c>
      <c r="AI163" s="337" t="str">
        <f t="shared" si="41"/>
        <v>OK</v>
      </c>
      <c r="AJ163" s="337" t="str">
        <f t="shared" si="41"/>
        <v>OK</v>
      </c>
      <c r="AK163" s="337" t="str">
        <f t="shared" si="41"/>
        <v>OK</v>
      </c>
      <c r="AL163" s="338" t="str">
        <f t="shared" si="41"/>
        <v>OK</v>
      </c>
    </row>
    <row r="164" spans="2:38" ht="13.5" hidden="1" customHeight="1" outlineLevel="2">
      <c r="B164" s="221" t="s">
        <v>547</v>
      </c>
      <c r="C164" s="222" t="s">
        <v>547</v>
      </c>
      <c r="D164" s="344" t="s">
        <v>548</v>
      </c>
      <c r="E164" s="333" t="s">
        <v>204</v>
      </c>
      <c r="F164" s="334" t="s">
        <v>204</v>
      </c>
      <c r="G164" s="334" t="s">
        <v>204</v>
      </c>
      <c r="H164" s="335" t="s">
        <v>204</v>
      </c>
      <c r="I164" s="336" t="str">
        <f t="shared" ref="I164:AL164" si="42">IF(I22&gt;=I66,"OK","BŁĄD")</f>
        <v>OK</v>
      </c>
      <c r="J164" s="337" t="str">
        <f t="shared" si="42"/>
        <v>OK</v>
      </c>
      <c r="K164" s="337" t="str">
        <f t="shared" si="42"/>
        <v>OK</v>
      </c>
      <c r="L164" s="337" t="str">
        <f t="shared" si="42"/>
        <v>OK</v>
      </c>
      <c r="M164" s="337" t="str">
        <f t="shared" si="42"/>
        <v>OK</v>
      </c>
      <c r="N164" s="337" t="str">
        <f t="shared" si="42"/>
        <v>OK</v>
      </c>
      <c r="O164" s="337" t="str">
        <f t="shared" si="42"/>
        <v>OK</v>
      </c>
      <c r="P164" s="337" t="str">
        <f t="shared" si="42"/>
        <v>OK</v>
      </c>
      <c r="Q164" s="337" t="str">
        <f t="shared" si="42"/>
        <v>OK</v>
      </c>
      <c r="R164" s="337" t="str">
        <f t="shared" si="42"/>
        <v>OK</v>
      </c>
      <c r="S164" s="337" t="str">
        <f t="shared" si="42"/>
        <v>OK</v>
      </c>
      <c r="T164" s="337" t="str">
        <f t="shared" si="42"/>
        <v>OK</v>
      </c>
      <c r="U164" s="337" t="str">
        <f t="shared" si="42"/>
        <v>OK</v>
      </c>
      <c r="V164" s="337" t="str">
        <f t="shared" si="42"/>
        <v>OK</v>
      </c>
      <c r="W164" s="337" t="str">
        <f t="shared" si="42"/>
        <v>OK</v>
      </c>
      <c r="X164" s="337" t="str">
        <f t="shared" si="42"/>
        <v>OK</v>
      </c>
      <c r="Y164" s="337" t="str">
        <f t="shared" si="42"/>
        <v>OK</v>
      </c>
      <c r="Z164" s="337" t="str">
        <f t="shared" si="42"/>
        <v>OK</v>
      </c>
      <c r="AA164" s="337" t="str">
        <f t="shared" si="42"/>
        <v>OK</v>
      </c>
      <c r="AB164" s="337" t="str">
        <f t="shared" si="42"/>
        <v>OK</v>
      </c>
      <c r="AC164" s="337" t="str">
        <f t="shared" si="42"/>
        <v>OK</v>
      </c>
      <c r="AD164" s="337" t="str">
        <f t="shared" si="42"/>
        <v>OK</v>
      </c>
      <c r="AE164" s="337" t="str">
        <f t="shared" si="42"/>
        <v>OK</v>
      </c>
      <c r="AF164" s="337" t="str">
        <f t="shared" si="42"/>
        <v>OK</v>
      </c>
      <c r="AG164" s="337" t="str">
        <f t="shared" si="42"/>
        <v>OK</v>
      </c>
      <c r="AH164" s="337" t="str">
        <f t="shared" si="42"/>
        <v>OK</v>
      </c>
      <c r="AI164" s="337" t="str">
        <f t="shared" si="42"/>
        <v>OK</v>
      </c>
      <c r="AJ164" s="337" t="str">
        <f t="shared" si="42"/>
        <v>OK</v>
      </c>
      <c r="AK164" s="337" t="str">
        <f t="shared" si="42"/>
        <v>OK</v>
      </c>
      <c r="AL164" s="338" t="str">
        <f t="shared" si="42"/>
        <v>OK</v>
      </c>
    </row>
    <row r="165" spans="2:38" ht="13.5" hidden="1" customHeight="1" outlineLevel="2">
      <c r="B165" s="221" t="s">
        <v>549</v>
      </c>
      <c r="C165" s="222" t="s">
        <v>549</v>
      </c>
      <c r="D165" s="344" t="s">
        <v>550</v>
      </c>
      <c r="E165" s="333" t="s">
        <v>204</v>
      </c>
      <c r="F165" s="334" t="s">
        <v>204</v>
      </c>
      <c r="G165" s="334" t="s">
        <v>204</v>
      </c>
      <c r="H165" s="335" t="s">
        <v>204</v>
      </c>
      <c r="I165" s="336" t="str">
        <f t="shared" ref="I165:AL165" si="43">IF(I22&gt;=I69,"OK","BŁĄD")</f>
        <v>OK</v>
      </c>
      <c r="J165" s="337" t="str">
        <f t="shared" si="43"/>
        <v>OK</v>
      </c>
      <c r="K165" s="337" t="str">
        <f t="shared" si="43"/>
        <v>OK</v>
      </c>
      <c r="L165" s="337" t="str">
        <f t="shared" si="43"/>
        <v>OK</v>
      </c>
      <c r="M165" s="337" t="str">
        <f t="shared" si="43"/>
        <v>OK</v>
      </c>
      <c r="N165" s="337" t="str">
        <f t="shared" si="43"/>
        <v>OK</v>
      </c>
      <c r="O165" s="337" t="str">
        <f t="shared" si="43"/>
        <v>OK</v>
      </c>
      <c r="P165" s="337" t="str">
        <f t="shared" si="43"/>
        <v>OK</v>
      </c>
      <c r="Q165" s="337" t="str">
        <f t="shared" si="43"/>
        <v>OK</v>
      </c>
      <c r="R165" s="337" t="str">
        <f t="shared" si="43"/>
        <v>OK</v>
      </c>
      <c r="S165" s="337" t="str">
        <f t="shared" si="43"/>
        <v>OK</v>
      </c>
      <c r="T165" s="337" t="str">
        <f t="shared" si="43"/>
        <v>OK</v>
      </c>
      <c r="U165" s="337" t="str">
        <f t="shared" si="43"/>
        <v>OK</v>
      </c>
      <c r="V165" s="337" t="str">
        <f t="shared" si="43"/>
        <v>OK</v>
      </c>
      <c r="W165" s="337" t="str">
        <f t="shared" si="43"/>
        <v>OK</v>
      </c>
      <c r="X165" s="337" t="str">
        <f t="shared" si="43"/>
        <v>OK</v>
      </c>
      <c r="Y165" s="337" t="str">
        <f t="shared" si="43"/>
        <v>OK</v>
      </c>
      <c r="Z165" s="337" t="str">
        <f t="shared" si="43"/>
        <v>OK</v>
      </c>
      <c r="AA165" s="337" t="str">
        <f t="shared" si="43"/>
        <v>OK</v>
      </c>
      <c r="AB165" s="337" t="str">
        <f t="shared" si="43"/>
        <v>OK</v>
      </c>
      <c r="AC165" s="337" t="str">
        <f t="shared" si="43"/>
        <v>OK</v>
      </c>
      <c r="AD165" s="337" t="str">
        <f t="shared" si="43"/>
        <v>OK</v>
      </c>
      <c r="AE165" s="337" t="str">
        <f t="shared" si="43"/>
        <v>OK</v>
      </c>
      <c r="AF165" s="337" t="str">
        <f t="shared" si="43"/>
        <v>OK</v>
      </c>
      <c r="AG165" s="337" t="str">
        <f t="shared" si="43"/>
        <v>OK</v>
      </c>
      <c r="AH165" s="337" t="str">
        <f t="shared" si="43"/>
        <v>OK</v>
      </c>
      <c r="AI165" s="337" t="str">
        <f t="shared" si="43"/>
        <v>OK</v>
      </c>
      <c r="AJ165" s="337" t="str">
        <f t="shared" si="43"/>
        <v>OK</v>
      </c>
      <c r="AK165" s="337" t="str">
        <f t="shared" si="43"/>
        <v>OK</v>
      </c>
      <c r="AL165" s="338" t="str">
        <f t="shared" si="43"/>
        <v>OK</v>
      </c>
    </row>
    <row r="166" spans="2:38" ht="13.5" hidden="1" customHeight="1" outlineLevel="2">
      <c r="B166" s="221" t="s">
        <v>551</v>
      </c>
      <c r="C166" s="222" t="s">
        <v>551</v>
      </c>
      <c r="D166" s="344" t="s">
        <v>552</v>
      </c>
      <c r="E166" s="333" t="s">
        <v>204</v>
      </c>
      <c r="F166" s="334" t="s">
        <v>204</v>
      </c>
      <c r="G166" s="334" t="s">
        <v>204</v>
      </c>
      <c r="H166" s="335" t="s">
        <v>204</v>
      </c>
      <c r="I166" s="336" t="str">
        <f t="shared" ref="I166:AL166" si="44">IF(I22&gt;=I81,"OK","BŁĄD")</f>
        <v>OK</v>
      </c>
      <c r="J166" s="337" t="str">
        <f t="shared" si="44"/>
        <v>OK</v>
      </c>
      <c r="K166" s="337" t="str">
        <f t="shared" si="44"/>
        <v>OK</v>
      </c>
      <c r="L166" s="337" t="str">
        <f t="shared" si="44"/>
        <v>OK</v>
      </c>
      <c r="M166" s="337" t="str">
        <f t="shared" si="44"/>
        <v>OK</v>
      </c>
      <c r="N166" s="337" t="str">
        <f t="shared" si="44"/>
        <v>OK</v>
      </c>
      <c r="O166" s="337" t="str">
        <f t="shared" si="44"/>
        <v>OK</v>
      </c>
      <c r="P166" s="337" t="str">
        <f t="shared" si="44"/>
        <v>OK</v>
      </c>
      <c r="Q166" s="337" t="str">
        <f t="shared" si="44"/>
        <v>OK</v>
      </c>
      <c r="R166" s="337" t="str">
        <f t="shared" si="44"/>
        <v>OK</v>
      </c>
      <c r="S166" s="337" t="str">
        <f t="shared" si="44"/>
        <v>OK</v>
      </c>
      <c r="T166" s="337" t="str">
        <f t="shared" si="44"/>
        <v>OK</v>
      </c>
      <c r="U166" s="337" t="str">
        <f t="shared" si="44"/>
        <v>OK</v>
      </c>
      <c r="V166" s="337" t="str">
        <f t="shared" si="44"/>
        <v>OK</v>
      </c>
      <c r="W166" s="337" t="str">
        <f t="shared" si="44"/>
        <v>OK</v>
      </c>
      <c r="X166" s="337" t="str">
        <f t="shared" si="44"/>
        <v>OK</v>
      </c>
      <c r="Y166" s="337" t="str">
        <f t="shared" si="44"/>
        <v>OK</v>
      </c>
      <c r="Z166" s="337" t="str">
        <f t="shared" si="44"/>
        <v>OK</v>
      </c>
      <c r="AA166" s="337" t="str">
        <f t="shared" si="44"/>
        <v>OK</v>
      </c>
      <c r="AB166" s="337" t="str">
        <f t="shared" si="44"/>
        <v>OK</v>
      </c>
      <c r="AC166" s="337" t="str">
        <f t="shared" si="44"/>
        <v>OK</v>
      </c>
      <c r="AD166" s="337" t="str">
        <f t="shared" si="44"/>
        <v>OK</v>
      </c>
      <c r="AE166" s="337" t="str">
        <f t="shared" si="44"/>
        <v>OK</v>
      </c>
      <c r="AF166" s="337" t="str">
        <f t="shared" si="44"/>
        <v>OK</v>
      </c>
      <c r="AG166" s="337" t="str">
        <f t="shared" si="44"/>
        <v>OK</v>
      </c>
      <c r="AH166" s="337" t="str">
        <f t="shared" si="44"/>
        <v>OK</v>
      </c>
      <c r="AI166" s="337" t="str">
        <f t="shared" si="44"/>
        <v>OK</v>
      </c>
      <c r="AJ166" s="337" t="str">
        <f t="shared" si="44"/>
        <v>OK</v>
      </c>
      <c r="AK166" s="337" t="str">
        <f t="shared" si="44"/>
        <v>OK</v>
      </c>
      <c r="AL166" s="338" t="str">
        <f t="shared" si="44"/>
        <v>OK</v>
      </c>
    </row>
    <row r="167" spans="2:38" ht="13.5" hidden="1" customHeight="1" outlineLevel="2">
      <c r="B167" s="221" t="s">
        <v>553</v>
      </c>
      <c r="C167" s="222" t="s">
        <v>553</v>
      </c>
      <c r="D167" s="344" t="s">
        <v>554</v>
      </c>
      <c r="E167" s="333" t="s">
        <v>204</v>
      </c>
      <c r="F167" s="334" t="s">
        <v>204</v>
      </c>
      <c r="G167" s="334" t="s">
        <v>204</v>
      </c>
      <c r="H167" s="335" t="s">
        <v>204</v>
      </c>
      <c r="I167" s="336" t="str">
        <f t="shared" ref="I167:AL167" si="45">IF(I22&gt;=I102,"OK","BŁĄD")</f>
        <v>OK</v>
      </c>
      <c r="J167" s="337" t="str">
        <f t="shared" si="45"/>
        <v>OK</v>
      </c>
      <c r="K167" s="337" t="str">
        <f t="shared" si="45"/>
        <v>OK</v>
      </c>
      <c r="L167" s="337" t="str">
        <f t="shared" si="45"/>
        <v>OK</v>
      </c>
      <c r="M167" s="337" t="str">
        <f t="shared" si="45"/>
        <v>OK</v>
      </c>
      <c r="N167" s="337" t="str">
        <f t="shared" si="45"/>
        <v>OK</v>
      </c>
      <c r="O167" s="337" t="str">
        <f t="shared" si="45"/>
        <v>OK</v>
      </c>
      <c r="P167" s="337" t="str">
        <f t="shared" si="45"/>
        <v>OK</v>
      </c>
      <c r="Q167" s="337" t="str">
        <f t="shared" si="45"/>
        <v>OK</v>
      </c>
      <c r="R167" s="337" t="str">
        <f t="shared" si="45"/>
        <v>OK</v>
      </c>
      <c r="S167" s="337" t="str">
        <f t="shared" si="45"/>
        <v>OK</v>
      </c>
      <c r="T167" s="337" t="str">
        <f t="shared" si="45"/>
        <v>OK</v>
      </c>
      <c r="U167" s="337" t="str">
        <f t="shared" si="45"/>
        <v>OK</v>
      </c>
      <c r="V167" s="337" t="str">
        <f t="shared" si="45"/>
        <v>OK</v>
      </c>
      <c r="W167" s="337" t="str">
        <f t="shared" si="45"/>
        <v>OK</v>
      </c>
      <c r="X167" s="337" t="str">
        <f t="shared" si="45"/>
        <v>OK</v>
      </c>
      <c r="Y167" s="337" t="str">
        <f t="shared" si="45"/>
        <v>OK</v>
      </c>
      <c r="Z167" s="337" t="str">
        <f t="shared" si="45"/>
        <v>OK</v>
      </c>
      <c r="AA167" s="337" t="str">
        <f t="shared" si="45"/>
        <v>OK</v>
      </c>
      <c r="AB167" s="337" t="str">
        <f t="shared" si="45"/>
        <v>OK</v>
      </c>
      <c r="AC167" s="337" t="str">
        <f t="shared" si="45"/>
        <v>OK</v>
      </c>
      <c r="AD167" s="337" t="str">
        <f t="shared" si="45"/>
        <v>OK</v>
      </c>
      <c r="AE167" s="337" t="str">
        <f t="shared" si="45"/>
        <v>OK</v>
      </c>
      <c r="AF167" s="337" t="str">
        <f t="shared" si="45"/>
        <v>OK</v>
      </c>
      <c r="AG167" s="337" t="str">
        <f t="shared" si="45"/>
        <v>OK</v>
      </c>
      <c r="AH167" s="337" t="str">
        <f t="shared" si="45"/>
        <v>OK</v>
      </c>
      <c r="AI167" s="337" t="str">
        <f t="shared" si="45"/>
        <v>OK</v>
      </c>
      <c r="AJ167" s="337" t="str">
        <f t="shared" si="45"/>
        <v>OK</v>
      </c>
      <c r="AK167" s="337" t="str">
        <f t="shared" si="45"/>
        <v>OK</v>
      </c>
      <c r="AL167" s="338" t="str">
        <f t="shared" si="45"/>
        <v>OK</v>
      </c>
    </row>
    <row r="168" spans="2:38" ht="13.5" hidden="1" customHeight="1" outlineLevel="2">
      <c r="B168" s="221" t="s">
        <v>555</v>
      </c>
      <c r="C168" s="222" t="s">
        <v>555</v>
      </c>
      <c r="D168" s="344" t="s">
        <v>556</v>
      </c>
      <c r="E168" s="333" t="s">
        <v>204</v>
      </c>
      <c r="F168" s="334" t="s">
        <v>204</v>
      </c>
      <c r="G168" s="334" t="s">
        <v>204</v>
      </c>
      <c r="H168" s="335" t="s">
        <v>204</v>
      </c>
      <c r="I168" s="336" t="str">
        <f t="shared" ref="I168:AL168" si="46">IF(I30&gt;=I70,"OK","BŁĄD")</f>
        <v>OK</v>
      </c>
      <c r="J168" s="337" t="str">
        <f t="shared" si="46"/>
        <v>OK</v>
      </c>
      <c r="K168" s="337" t="str">
        <f t="shared" si="46"/>
        <v>OK</v>
      </c>
      <c r="L168" s="337" t="str">
        <f t="shared" si="46"/>
        <v>OK</v>
      </c>
      <c r="M168" s="337" t="str">
        <f t="shared" si="46"/>
        <v>OK</v>
      </c>
      <c r="N168" s="337" t="str">
        <f t="shared" si="46"/>
        <v>OK</v>
      </c>
      <c r="O168" s="337" t="str">
        <f t="shared" si="46"/>
        <v>OK</v>
      </c>
      <c r="P168" s="337" t="str">
        <f t="shared" si="46"/>
        <v>OK</v>
      </c>
      <c r="Q168" s="337" t="str">
        <f t="shared" si="46"/>
        <v>OK</v>
      </c>
      <c r="R168" s="337" t="str">
        <f t="shared" si="46"/>
        <v>OK</v>
      </c>
      <c r="S168" s="337" t="str">
        <f t="shared" si="46"/>
        <v>OK</v>
      </c>
      <c r="T168" s="337" t="str">
        <f t="shared" si="46"/>
        <v>OK</v>
      </c>
      <c r="U168" s="337" t="str">
        <f t="shared" si="46"/>
        <v>OK</v>
      </c>
      <c r="V168" s="337" t="str">
        <f t="shared" si="46"/>
        <v>OK</v>
      </c>
      <c r="W168" s="337" t="str">
        <f t="shared" si="46"/>
        <v>OK</v>
      </c>
      <c r="X168" s="337" t="str">
        <f t="shared" si="46"/>
        <v>OK</v>
      </c>
      <c r="Y168" s="337" t="str">
        <f t="shared" si="46"/>
        <v>OK</v>
      </c>
      <c r="Z168" s="337" t="str">
        <f t="shared" si="46"/>
        <v>OK</v>
      </c>
      <c r="AA168" s="337" t="str">
        <f t="shared" si="46"/>
        <v>OK</v>
      </c>
      <c r="AB168" s="337" t="str">
        <f t="shared" si="46"/>
        <v>OK</v>
      </c>
      <c r="AC168" s="337" t="str">
        <f t="shared" si="46"/>
        <v>OK</v>
      </c>
      <c r="AD168" s="337" t="str">
        <f t="shared" si="46"/>
        <v>OK</v>
      </c>
      <c r="AE168" s="337" t="str">
        <f t="shared" si="46"/>
        <v>OK</v>
      </c>
      <c r="AF168" s="337" t="str">
        <f t="shared" si="46"/>
        <v>OK</v>
      </c>
      <c r="AG168" s="337" t="str">
        <f t="shared" si="46"/>
        <v>OK</v>
      </c>
      <c r="AH168" s="337" t="str">
        <f t="shared" si="46"/>
        <v>OK</v>
      </c>
      <c r="AI168" s="337" t="str">
        <f t="shared" si="46"/>
        <v>OK</v>
      </c>
      <c r="AJ168" s="337" t="str">
        <f t="shared" si="46"/>
        <v>OK</v>
      </c>
      <c r="AK168" s="337" t="str">
        <f t="shared" si="46"/>
        <v>OK</v>
      </c>
      <c r="AL168" s="338" t="str">
        <f t="shared" si="46"/>
        <v>OK</v>
      </c>
    </row>
    <row r="169" spans="2:38" ht="13.5" hidden="1" customHeight="1" outlineLevel="2">
      <c r="B169" s="221" t="s">
        <v>557</v>
      </c>
      <c r="C169" s="222" t="s">
        <v>557</v>
      </c>
      <c r="D169" s="344" t="s">
        <v>558</v>
      </c>
      <c r="E169" s="333" t="s">
        <v>204</v>
      </c>
      <c r="F169" s="334" t="s">
        <v>204</v>
      </c>
      <c r="G169" s="334" t="s">
        <v>204</v>
      </c>
      <c r="H169" s="335" t="s">
        <v>204</v>
      </c>
      <c r="I169" s="336" t="str">
        <f t="shared" ref="I169:AL169" si="47">IF(I30&gt;=I71+I72,"OK","BŁĄD")</f>
        <v>OK</v>
      </c>
      <c r="J169" s="337" t="str">
        <f t="shared" si="47"/>
        <v>OK</v>
      </c>
      <c r="K169" s="337" t="str">
        <f t="shared" si="47"/>
        <v>OK</v>
      </c>
      <c r="L169" s="337" t="str">
        <f t="shared" si="47"/>
        <v>OK</v>
      </c>
      <c r="M169" s="337" t="str">
        <f t="shared" si="47"/>
        <v>OK</v>
      </c>
      <c r="N169" s="337" t="str">
        <f t="shared" si="47"/>
        <v>OK</v>
      </c>
      <c r="O169" s="337" t="str">
        <f t="shared" si="47"/>
        <v>OK</v>
      </c>
      <c r="P169" s="337" t="str">
        <f t="shared" si="47"/>
        <v>OK</v>
      </c>
      <c r="Q169" s="337" t="str">
        <f t="shared" si="47"/>
        <v>OK</v>
      </c>
      <c r="R169" s="337" t="str">
        <f t="shared" si="47"/>
        <v>OK</v>
      </c>
      <c r="S169" s="337" t="str">
        <f t="shared" si="47"/>
        <v>OK</v>
      </c>
      <c r="T169" s="337" t="str">
        <f t="shared" si="47"/>
        <v>OK</v>
      </c>
      <c r="U169" s="337" t="str">
        <f t="shared" si="47"/>
        <v>OK</v>
      </c>
      <c r="V169" s="337" t="str">
        <f t="shared" si="47"/>
        <v>OK</v>
      </c>
      <c r="W169" s="337" t="str">
        <f t="shared" si="47"/>
        <v>OK</v>
      </c>
      <c r="X169" s="337" t="str">
        <f t="shared" si="47"/>
        <v>OK</v>
      </c>
      <c r="Y169" s="337" t="str">
        <f t="shared" si="47"/>
        <v>OK</v>
      </c>
      <c r="Z169" s="337" t="str">
        <f t="shared" si="47"/>
        <v>OK</v>
      </c>
      <c r="AA169" s="337" t="str">
        <f t="shared" si="47"/>
        <v>OK</v>
      </c>
      <c r="AB169" s="337" t="str">
        <f t="shared" si="47"/>
        <v>OK</v>
      </c>
      <c r="AC169" s="337" t="str">
        <f t="shared" si="47"/>
        <v>OK</v>
      </c>
      <c r="AD169" s="337" t="str">
        <f t="shared" si="47"/>
        <v>OK</v>
      </c>
      <c r="AE169" s="337" t="str">
        <f t="shared" si="47"/>
        <v>OK</v>
      </c>
      <c r="AF169" s="337" t="str">
        <f t="shared" si="47"/>
        <v>OK</v>
      </c>
      <c r="AG169" s="337" t="str">
        <f t="shared" si="47"/>
        <v>OK</v>
      </c>
      <c r="AH169" s="337" t="str">
        <f t="shared" si="47"/>
        <v>OK</v>
      </c>
      <c r="AI169" s="337" t="str">
        <f t="shared" si="47"/>
        <v>OK</v>
      </c>
      <c r="AJ169" s="337" t="str">
        <f t="shared" si="47"/>
        <v>OK</v>
      </c>
      <c r="AK169" s="337" t="str">
        <f t="shared" si="47"/>
        <v>OK</v>
      </c>
      <c r="AL169" s="338" t="str">
        <f t="shared" si="47"/>
        <v>OK</v>
      </c>
    </row>
    <row r="170" spans="2:38" ht="13.5" hidden="1" customHeight="1" outlineLevel="2">
      <c r="B170" s="221" t="s">
        <v>559</v>
      </c>
      <c r="C170" s="222" t="s">
        <v>559</v>
      </c>
      <c r="D170" s="344" t="s">
        <v>560</v>
      </c>
      <c r="E170" s="333" t="s">
        <v>204</v>
      </c>
      <c r="F170" s="334" t="s">
        <v>204</v>
      </c>
      <c r="G170" s="334" t="s">
        <v>204</v>
      </c>
      <c r="H170" s="335" t="s">
        <v>204</v>
      </c>
      <c r="I170" s="336" t="str">
        <f t="shared" ref="I170:AL170" si="48">IF(I30&gt;=I73,"OK","BŁĄD")</f>
        <v>OK</v>
      </c>
      <c r="J170" s="337" t="str">
        <f t="shared" si="48"/>
        <v>OK</v>
      </c>
      <c r="K170" s="337" t="str">
        <f t="shared" si="48"/>
        <v>OK</v>
      </c>
      <c r="L170" s="337" t="str">
        <f t="shared" si="48"/>
        <v>OK</v>
      </c>
      <c r="M170" s="337" t="str">
        <f t="shared" si="48"/>
        <v>OK</v>
      </c>
      <c r="N170" s="337" t="str">
        <f t="shared" si="48"/>
        <v>OK</v>
      </c>
      <c r="O170" s="337" t="str">
        <f t="shared" si="48"/>
        <v>OK</v>
      </c>
      <c r="P170" s="337" t="str">
        <f t="shared" si="48"/>
        <v>OK</v>
      </c>
      <c r="Q170" s="337" t="str">
        <f t="shared" si="48"/>
        <v>OK</v>
      </c>
      <c r="R170" s="337" t="str">
        <f t="shared" si="48"/>
        <v>OK</v>
      </c>
      <c r="S170" s="337" t="str">
        <f t="shared" si="48"/>
        <v>OK</v>
      </c>
      <c r="T170" s="337" t="str">
        <f t="shared" si="48"/>
        <v>OK</v>
      </c>
      <c r="U170" s="337" t="str">
        <f t="shared" si="48"/>
        <v>OK</v>
      </c>
      <c r="V170" s="337" t="str">
        <f t="shared" si="48"/>
        <v>OK</v>
      </c>
      <c r="W170" s="337" t="str">
        <f t="shared" si="48"/>
        <v>OK</v>
      </c>
      <c r="X170" s="337" t="str">
        <f t="shared" si="48"/>
        <v>OK</v>
      </c>
      <c r="Y170" s="337" t="str">
        <f t="shared" si="48"/>
        <v>OK</v>
      </c>
      <c r="Z170" s="337" t="str">
        <f t="shared" si="48"/>
        <v>OK</v>
      </c>
      <c r="AA170" s="337" t="str">
        <f t="shared" si="48"/>
        <v>OK</v>
      </c>
      <c r="AB170" s="337" t="str">
        <f t="shared" si="48"/>
        <v>OK</v>
      </c>
      <c r="AC170" s="337" t="str">
        <f t="shared" si="48"/>
        <v>OK</v>
      </c>
      <c r="AD170" s="337" t="str">
        <f t="shared" si="48"/>
        <v>OK</v>
      </c>
      <c r="AE170" s="337" t="str">
        <f t="shared" si="48"/>
        <v>OK</v>
      </c>
      <c r="AF170" s="337" t="str">
        <f t="shared" si="48"/>
        <v>OK</v>
      </c>
      <c r="AG170" s="337" t="str">
        <f t="shared" si="48"/>
        <v>OK</v>
      </c>
      <c r="AH170" s="337" t="str">
        <f t="shared" si="48"/>
        <v>OK</v>
      </c>
      <c r="AI170" s="337" t="str">
        <f t="shared" si="48"/>
        <v>OK</v>
      </c>
      <c r="AJ170" s="337" t="str">
        <f t="shared" si="48"/>
        <v>OK</v>
      </c>
      <c r="AK170" s="337" t="str">
        <f t="shared" si="48"/>
        <v>OK</v>
      </c>
      <c r="AL170" s="338" t="str">
        <f t="shared" si="48"/>
        <v>OK</v>
      </c>
    </row>
    <row r="171" spans="2:38" ht="13.5" hidden="1" customHeight="1" outlineLevel="2">
      <c r="B171" s="221" t="s">
        <v>561</v>
      </c>
      <c r="C171" s="222" t="s">
        <v>561</v>
      </c>
      <c r="D171" s="344" t="s">
        <v>562</v>
      </c>
      <c r="E171" s="333" t="s">
        <v>204</v>
      </c>
      <c r="F171" s="334" t="s">
        <v>204</v>
      </c>
      <c r="G171" s="334" t="s">
        <v>204</v>
      </c>
      <c r="H171" s="335" t="s">
        <v>204</v>
      </c>
      <c r="I171" s="336" t="str">
        <f t="shared" ref="I171:AL171" si="49">IF(I30&gt;=I84,"OK","BŁĄD")</f>
        <v>OK</v>
      </c>
      <c r="J171" s="337" t="str">
        <f t="shared" si="49"/>
        <v>OK</v>
      </c>
      <c r="K171" s="337" t="str">
        <f t="shared" si="49"/>
        <v>OK</v>
      </c>
      <c r="L171" s="337" t="str">
        <f t="shared" si="49"/>
        <v>OK</v>
      </c>
      <c r="M171" s="337" t="str">
        <f t="shared" si="49"/>
        <v>OK</v>
      </c>
      <c r="N171" s="337" t="str">
        <f t="shared" si="49"/>
        <v>OK</v>
      </c>
      <c r="O171" s="337" t="str">
        <f t="shared" si="49"/>
        <v>OK</v>
      </c>
      <c r="P171" s="337" t="str">
        <f t="shared" si="49"/>
        <v>OK</v>
      </c>
      <c r="Q171" s="337" t="str">
        <f t="shared" si="49"/>
        <v>OK</v>
      </c>
      <c r="R171" s="337" t="str">
        <f t="shared" si="49"/>
        <v>OK</v>
      </c>
      <c r="S171" s="337" t="str">
        <f t="shared" si="49"/>
        <v>OK</v>
      </c>
      <c r="T171" s="337" t="str">
        <f t="shared" si="49"/>
        <v>OK</v>
      </c>
      <c r="U171" s="337" t="str">
        <f t="shared" si="49"/>
        <v>OK</v>
      </c>
      <c r="V171" s="337" t="str">
        <f t="shared" si="49"/>
        <v>OK</v>
      </c>
      <c r="W171" s="337" t="str">
        <f t="shared" si="49"/>
        <v>OK</v>
      </c>
      <c r="X171" s="337" t="str">
        <f t="shared" si="49"/>
        <v>OK</v>
      </c>
      <c r="Y171" s="337" t="str">
        <f t="shared" si="49"/>
        <v>OK</v>
      </c>
      <c r="Z171" s="337" t="str">
        <f t="shared" si="49"/>
        <v>OK</v>
      </c>
      <c r="AA171" s="337" t="str">
        <f t="shared" si="49"/>
        <v>OK</v>
      </c>
      <c r="AB171" s="337" t="str">
        <f t="shared" si="49"/>
        <v>OK</v>
      </c>
      <c r="AC171" s="337" t="str">
        <f t="shared" si="49"/>
        <v>OK</v>
      </c>
      <c r="AD171" s="337" t="str">
        <f t="shared" si="49"/>
        <v>OK</v>
      </c>
      <c r="AE171" s="337" t="str">
        <f t="shared" si="49"/>
        <v>OK</v>
      </c>
      <c r="AF171" s="337" t="str">
        <f t="shared" si="49"/>
        <v>OK</v>
      </c>
      <c r="AG171" s="337" t="str">
        <f t="shared" si="49"/>
        <v>OK</v>
      </c>
      <c r="AH171" s="337" t="str">
        <f t="shared" si="49"/>
        <v>OK</v>
      </c>
      <c r="AI171" s="337" t="str">
        <f t="shared" si="49"/>
        <v>OK</v>
      </c>
      <c r="AJ171" s="337" t="str">
        <f t="shared" si="49"/>
        <v>OK</v>
      </c>
      <c r="AK171" s="337" t="str">
        <f t="shared" si="49"/>
        <v>OK</v>
      </c>
      <c r="AL171" s="338" t="str">
        <f t="shared" si="49"/>
        <v>OK</v>
      </c>
    </row>
    <row r="172" spans="2:38" ht="13.5" hidden="1" customHeight="1" outlineLevel="2">
      <c r="B172" s="221" t="s">
        <v>563</v>
      </c>
      <c r="C172" s="222" t="s">
        <v>563</v>
      </c>
      <c r="D172" s="344" t="s">
        <v>564</v>
      </c>
      <c r="E172" s="333" t="s">
        <v>204</v>
      </c>
      <c r="F172" s="334" t="s">
        <v>204</v>
      </c>
      <c r="G172" s="334" t="s">
        <v>204</v>
      </c>
      <c r="H172" s="335" t="s">
        <v>204</v>
      </c>
      <c r="I172" s="336" t="str">
        <f t="shared" ref="I172:AL172" si="50">IF(I33&gt;=I34,"OK","BŁĄD")</f>
        <v>OK</v>
      </c>
      <c r="J172" s="337" t="str">
        <f t="shared" si="50"/>
        <v>OK</v>
      </c>
      <c r="K172" s="337" t="str">
        <f t="shared" si="50"/>
        <v>OK</v>
      </c>
      <c r="L172" s="337" t="str">
        <f t="shared" si="50"/>
        <v>OK</v>
      </c>
      <c r="M172" s="337" t="str">
        <f t="shared" si="50"/>
        <v>OK</v>
      </c>
      <c r="N172" s="337" t="str">
        <f t="shared" si="50"/>
        <v>OK</v>
      </c>
      <c r="O172" s="337" t="str">
        <f t="shared" si="50"/>
        <v>OK</v>
      </c>
      <c r="P172" s="337" t="str">
        <f t="shared" si="50"/>
        <v>OK</v>
      </c>
      <c r="Q172" s="337" t="str">
        <f t="shared" si="50"/>
        <v>OK</v>
      </c>
      <c r="R172" s="337" t="str">
        <f t="shared" si="50"/>
        <v>OK</v>
      </c>
      <c r="S172" s="337" t="str">
        <f t="shared" si="50"/>
        <v>OK</v>
      </c>
      <c r="T172" s="337" t="str">
        <f t="shared" si="50"/>
        <v>OK</v>
      </c>
      <c r="U172" s="337" t="str">
        <f t="shared" si="50"/>
        <v>OK</v>
      </c>
      <c r="V172" s="337" t="str">
        <f t="shared" si="50"/>
        <v>OK</v>
      </c>
      <c r="W172" s="337" t="str">
        <f t="shared" si="50"/>
        <v>OK</v>
      </c>
      <c r="X172" s="337" t="str">
        <f t="shared" si="50"/>
        <v>OK</v>
      </c>
      <c r="Y172" s="337" t="str">
        <f t="shared" si="50"/>
        <v>OK</v>
      </c>
      <c r="Z172" s="337" t="str">
        <f t="shared" si="50"/>
        <v>OK</v>
      </c>
      <c r="AA172" s="337" t="str">
        <f t="shared" si="50"/>
        <v>OK</v>
      </c>
      <c r="AB172" s="337" t="str">
        <f t="shared" si="50"/>
        <v>OK</v>
      </c>
      <c r="AC172" s="337" t="str">
        <f t="shared" si="50"/>
        <v>OK</v>
      </c>
      <c r="AD172" s="337" t="str">
        <f t="shared" si="50"/>
        <v>OK</v>
      </c>
      <c r="AE172" s="337" t="str">
        <f t="shared" si="50"/>
        <v>OK</v>
      </c>
      <c r="AF172" s="337" t="str">
        <f t="shared" si="50"/>
        <v>OK</v>
      </c>
      <c r="AG172" s="337" t="str">
        <f t="shared" si="50"/>
        <v>OK</v>
      </c>
      <c r="AH172" s="337" t="str">
        <f t="shared" si="50"/>
        <v>OK</v>
      </c>
      <c r="AI172" s="337" t="str">
        <f t="shared" si="50"/>
        <v>OK</v>
      </c>
      <c r="AJ172" s="337" t="str">
        <f t="shared" si="50"/>
        <v>OK</v>
      </c>
      <c r="AK172" s="337" t="str">
        <f t="shared" si="50"/>
        <v>OK</v>
      </c>
      <c r="AL172" s="338" t="str">
        <f t="shared" si="50"/>
        <v>OK</v>
      </c>
    </row>
    <row r="173" spans="2:38" ht="13.5" hidden="1" customHeight="1" outlineLevel="2">
      <c r="B173" s="221" t="s">
        <v>565</v>
      </c>
      <c r="C173" s="222" t="s">
        <v>565</v>
      </c>
      <c r="D173" s="344" t="s">
        <v>566</v>
      </c>
      <c r="E173" s="333" t="s">
        <v>204</v>
      </c>
      <c r="F173" s="334" t="s">
        <v>204</v>
      </c>
      <c r="G173" s="334" t="s">
        <v>204</v>
      </c>
      <c r="H173" s="335" t="s">
        <v>204</v>
      </c>
      <c r="I173" s="336" t="str">
        <f t="shared" ref="I173:AL173" si="51">IF(I35&gt;=I36,"OK","BŁĄD")</f>
        <v>OK</v>
      </c>
      <c r="J173" s="337" t="str">
        <f t="shared" si="51"/>
        <v>OK</v>
      </c>
      <c r="K173" s="337" t="str">
        <f t="shared" si="51"/>
        <v>OK</v>
      </c>
      <c r="L173" s="337" t="str">
        <f t="shared" si="51"/>
        <v>OK</v>
      </c>
      <c r="M173" s="337" t="str">
        <f t="shared" si="51"/>
        <v>OK</v>
      </c>
      <c r="N173" s="337" t="str">
        <f t="shared" si="51"/>
        <v>OK</v>
      </c>
      <c r="O173" s="337" t="str">
        <f t="shared" si="51"/>
        <v>OK</v>
      </c>
      <c r="P173" s="337" t="str">
        <f t="shared" si="51"/>
        <v>OK</v>
      </c>
      <c r="Q173" s="337" t="str">
        <f t="shared" si="51"/>
        <v>OK</v>
      </c>
      <c r="R173" s="337" t="str">
        <f t="shared" si="51"/>
        <v>OK</v>
      </c>
      <c r="S173" s="337" t="str">
        <f t="shared" si="51"/>
        <v>OK</v>
      </c>
      <c r="T173" s="337" t="str">
        <f t="shared" si="51"/>
        <v>OK</v>
      </c>
      <c r="U173" s="337" t="str">
        <f t="shared" si="51"/>
        <v>OK</v>
      </c>
      <c r="V173" s="337" t="str">
        <f t="shared" si="51"/>
        <v>OK</v>
      </c>
      <c r="W173" s="337" t="str">
        <f t="shared" si="51"/>
        <v>OK</v>
      </c>
      <c r="X173" s="337" t="str">
        <f t="shared" si="51"/>
        <v>OK</v>
      </c>
      <c r="Y173" s="337" t="str">
        <f t="shared" si="51"/>
        <v>OK</v>
      </c>
      <c r="Z173" s="337" t="str">
        <f t="shared" si="51"/>
        <v>OK</v>
      </c>
      <c r="AA173" s="337" t="str">
        <f t="shared" si="51"/>
        <v>OK</v>
      </c>
      <c r="AB173" s="337" t="str">
        <f t="shared" si="51"/>
        <v>OK</v>
      </c>
      <c r="AC173" s="337" t="str">
        <f t="shared" si="51"/>
        <v>OK</v>
      </c>
      <c r="AD173" s="337" t="str">
        <f t="shared" si="51"/>
        <v>OK</v>
      </c>
      <c r="AE173" s="337" t="str">
        <f t="shared" si="51"/>
        <v>OK</v>
      </c>
      <c r="AF173" s="337" t="str">
        <f t="shared" si="51"/>
        <v>OK</v>
      </c>
      <c r="AG173" s="337" t="str">
        <f t="shared" si="51"/>
        <v>OK</v>
      </c>
      <c r="AH173" s="337" t="str">
        <f t="shared" si="51"/>
        <v>OK</v>
      </c>
      <c r="AI173" s="337" t="str">
        <f t="shared" si="51"/>
        <v>OK</v>
      </c>
      <c r="AJ173" s="337" t="str">
        <f t="shared" si="51"/>
        <v>OK</v>
      </c>
      <c r="AK173" s="337" t="str">
        <f t="shared" si="51"/>
        <v>OK</v>
      </c>
      <c r="AL173" s="338" t="str">
        <f t="shared" si="51"/>
        <v>OK</v>
      </c>
    </row>
    <row r="174" spans="2:38" ht="13.5" hidden="1" customHeight="1" outlineLevel="2">
      <c r="B174" s="221" t="s">
        <v>567</v>
      </c>
      <c r="C174" s="222" t="s">
        <v>567</v>
      </c>
      <c r="D174" s="344" t="s">
        <v>568</v>
      </c>
      <c r="E174" s="333" t="s">
        <v>204</v>
      </c>
      <c r="F174" s="334" t="s">
        <v>204</v>
      </c>
      <c r="G174" s="334" t="s">
        <v>204</v>
      </c>
      <c r="H174" s="335" t="s">
        <v>204</v>
      </c>
      <c r="I174" s="336" t="str">
        <f t="shared" ref="I174:AL174" si="52">IF(I37&gt;=I38,"OK","BŁĄD")</f>
        <v>OK</v>
      </c>
      <c r="J174" s="337" t="str">
        <f t="shared" si="52"/>
        <v>OK</v>
      </c>
      <c r="K174" s="337" t="str">
        <f t="shared" si="52"/>
        <v>OK</v>
      </c>
      <c r="L174" s="337" t="str">
        <f t="shared" si="52"/>
        <v>OK</v>
      </c>
      <c r="M174" s="337" t="str">
        <f t="shared" si="52"/>
        <v>OK</v>
      </c>
      <c r="N174" s="337" t="str">
        <f t="shared" si="52"/>
        <v>OK</v>
      </c>
      <c r="O174" s="337" t="str">
        <f t="shared" si="52"/>
        <v>OK</v>
      </c>
      <c r="P174" s="337" t="str">
        <f t="shared" si="52"/>
        <v>OK</v>
      </c>
      <c r="Q174" s="337" t="str">
        <f t="shared" si="52"/>
        <v>OK</v>
      </c>
      <c r="R174" s="337" t="str">
        <f t="shared" si="52"/>
        <v>OK</v>
      </c>
      <c r="S174" s="337" t="str">
        <f t="shared" si="52"/>
        <v>OK</v>
      </c>
      <c r="T174" s="337" t="str">
        <f t="shared" si="52"/>
        <v>OK</v>
      </c>
      <c r="U174" s="337" t="str">
        <f t="shared" si="52"/>
        <v>OK</v>
      </c>
      <c r="V174" s="337" t="str">
        <f t="shared" si="52"/>
        <v>OK</v>
      </c>
      <c r="W174" s="337" t="str">
        <f t="shared" si="52"/>
        <v>OK</v>
      </c>
      <c r="X174" s="337" t="str">
        <f t="shared" si="52"/>
        <v>OK</v>
      </c>
      <c r="Y174" s="337" t="str">
        <f t="shared" si="52"/>
        <v>OK</v>
      </c>
      <c r="Z174" s="337" t="str">
        <f t="shared" si="52"/>
        <v>OK</v>
      </c>
      <c r="AA174" s="337" t="str">
        <f t="shared" si="52"/>
        <v>OK</v>
      </c>
      <c r="AB174" s="337" t="str">
        <f t="shared" si="52"/>
        <v>OK</v>
      </c>
      <c r="AC174" s="337" t="str">
        <f t="shared" si="52"/>
        <v>OK</v>
      </c>
      <c r="AD174" s="337" t="str">
        <f t="shared" si="52"/>
        <v>OK</v>
      </c>
      <c r="AE174" s="337" t="str">
        <f t="shared" si="52"/>
        <v>OK</v>
      </c>
      <c r="AF174" s="337" t="str">
        <f t="shared" si="52"/>
        <v>OK</v>
      </c>
      <c r="AG174" s="337" t="str">
        <f t="shared" si="52"/>
        <v>OK</v>
      </c>
      <c r="AH174" s="337" t="str">
        <f t="shared" si="52"/>
        <v>OK</v>
      </c>
      <c r="AI174" s="337" t="str">
        <f t="shared" si="52"/>
        <v>OK</v>
      </c>
      <c r="AJ174" s="337" t="str">
        <f t="shared" si="52"/>
        <v>OK</v>
      </c>
      <c r="AK174" s="337" t="str">
        <f t="shared" si="52"/>
        <v>OK</v>
      </c>
      <c r="AL174" s="338" t="str">
        <f t="shared" si="52"/>
        <v>OK</v>
      </c>
    </row>
    <row r="175" spans="2:38" ht="13.5" hidden="1" customHeight="1" outlineLevel="2">
      <c r="B175" s="221" t="s">
        <v>569</v>
      </c>
      <c r="C175" s="222" t="s">
        <v>569</v>
      </c>
      <c r="D175" s="344" t="s">
        <v>570</v>
      </c>
      <c r="E175" s="333" t="s">
        <v>204</v>
      </c>
      <c r="F175" s="334" t="s">
        <v>204</v>
      </c>
      <c r="G175" s="334" t="s">
        <v>204</v>
      </c>
      <c r="H175" s="335" t="s">
        <v>204</v>
      </c>
      <c r="I175" s="336" t="str">
        <f t="shared" ref="I175:AL175" si="53">IF(I39&gt;=I40,"OK","BŁĄD")</f>
        <v>OK</v>
      </c>
      <c r="J175" s="337" t="str">
        <f t="shared" si="53"/>
        <v>OK</v>
      </c>
      <c r="K175" s="337" t="str">
        <f t="shared" si="53"/>
        <v>OK</v>
      </c>
      <c r="L175" s="337" t="str">
        <f t="shared" si="53"/>
        <v>OK</v>
      </c>
      <c r="M175" s="337" t="str">
        <f t="shared" si="53"/>
        <v>OK</v>
      </c>
      <c r="N175" s="337" t="str">
        <f t="shared" si="53"/>
        <v>OK</v>
      </c>
      <c r="O175" s="337" t="str">
        <f t="shared" si="53"/>
        <v>OK</v>
      </c>
      <c r="P175" s="337" t="str">
        <f t="shared" si="53"/>
        <v>OK</v>
      </c>
      <c r="Q175" s="337" t="str">
        <f t="shared" si="53"/>
        <v>OK</v>
      </c>
      <c r="R175" s="337" t="str">
        <f t="shared" si="53"/>
        <v>OK</v>
      </c>
      <c r="S175" s="337" t="str">
        <f t="shared" si="53"/>
        <v>OK</v>
      </c>
      <c r="T175" s="337" t="str">
        <f t="shared" si="53"/>
        <v>OK</v>
      </c>
      <c r="U175" s="337" t="str">
        <f t="shared" si="53"/>
        <v>OK</v>
      </c>
      <c r="V175" s="337" t="str">
        <f t="shared" si="53"/>
        <v>OK</v>
      </c>
      <c r="W175" s="337" t="str">
        <f t="shared" si="53"/>
        <v>OK</v>
      </c>
      <c r="X175" s="337" t="str">
        <f t="shared" si="53"/>
        <v>OK</v>
      </c>
      <c r="Y175" s="337" t="str">
        <f t="shared" si="53"/>
        <v>OK</v>
      </c>
      <c r="Z175" s="337" t="str">
        <f t="shared" si="53"/>
        <v>OK</v>
      </c>
      <c r="AA175" s="337" t="str">
        <f t="shared" si="53"/>
        <v>OK</v>
      </c>
      <c r="AB175" s="337" t="str">
        <f t="shared" si="53"/>
        <v>OK</v>
      </c>
      <c r="AC175" s="337" t="str">
        <f t="shared" si="53"/>
        <v>OK</v>
      </c>
      <c r="AD175" s="337" t="str">
        <f t="shared" si="53"/>
        <v>OK</v>
      </c>
      <c r="AE175" s="337" t="str">
        <f t="shared" si="53"/>
        <v>OK</v>
      </c>
      <c r="AF175" s="337" t="str">
        <f t="shared" si="53"/>
        <v>OK</v>
      </c>
      <c r="AG175" s="337" t="str">
        <f t="shared" si="53"/>
        <v>OK</v>
      </c>
      <c r="AH175" s="337" t="str">
        <f t="shared" si="53"/>
        <v>OK</v>
      </c>
      <c r="AI175" s="337" t="str">
        <f t="shared" si="53"/>
        <v>OK</v>
      </c>
      <c r="AJ175" s="337" t="str">
        <f t="shared" si="53"/>
        <v>OK</v>
      </c>
      <c r="AK175" s="337" t="str">
        <f t="shared" si="53"/>
        <v>OK</v>
      </c>
      <c r="AL175" s="338" t="str">
        <f t="shared" si="53"/>
        <v>OK</v>
      </c>
    </row>
    <row r="176" spans="2:38" ht="13.5" hidden="1" customHeight="1" outlineLevel="2">
      <c r="B176" s="221" t="s">
        <v>571</v>
      </c>
      <c r="C176" s="222" t="s">
        <v>571</v>
      </c>
      <c r="D176" s="344" t="s">
        <v>572</v>
      </c>
      <c r="E176" s="333" t="s">
        <v>204</v>
      </c>
      <c r="F176" s="334" t="s">
        <v>204</v>
      </c>
      <c r="G176" s="334" t="s">
        <v>204</v>
      </c>
      <c r="H176" s="335" t="s">
        <v>204</v>
      </c>
      <c r="I176" s="336" t="str">
        <f t="shared" ref="I176:AL176" si="54">IF(I42&gt;=I43,"OK","BŁĄD")</f>
        <v>OK</v>
      </c>
      <c r="J176" s="337" t="str">
        <f t="shared" si="54"/>
        <v>OK</v>
      </c>
      <c r="K176" s="337" t="str">
        <f t="shared" si="54"/>
        <v>OK</v>
      </c>
      <c r="L176" s="337" t="str">
        <f t="shared" si="54"/>
        <v>OK</v>
      </c>
      <c r="M176" s="337" t="str">
        <f t="shared" si="54"/>
        <v>OK</v>
      </c>
      <c r="N176" s="337" t="str">
        <f t="shared" si="54"/>
        <v>OK</v>
      </c>
      <c r="O176" s="337" t="str">
        <f t="shared" si="54"/>
        <v>OK</v>
      </c>
      <c r="P176" s="337" t="str">
        <f t="shared" si="54"/>
        <v>OK</v>
      </c>
      <c r="Q176" s="337" t="str">
        <f t="shared" si="54"/>
        <v>OK</v>
      </c>
      <c r="R176" s="337" t="str">
        <f t="shared" si="54"/>
        <v>OK</v>
      </c>
      <c r="S176" s="337" t="str">
        <f t="shared" si="54"/>
        <v>OK</v>
      </c>
      <c r="T176" s="337" t="str">
        <f t="shared" si="54"/>
        <v>OK</v>
      </c>
      <c r="U176" s="337" t="str">
        <f t="shared" si="54"/>
        <v>OK</v>
      </c>
      <c r="V176" s="337" t="str">
        <f t="shared" si="54"/>
        <v>OK</v>
      </c>
      <c r="W176" s="337" t="str">
        <f t="shared" si="54"/>
        <v>OK</v>
      </c>
      <c r="X176" s="337" t="str">
        <f t="shared" si="54"/>
        <v>OK</v>
      </c>
      <c r="Y176" s="337" t="str">
        <f t="shared" si="54"/>
        <v>OK</v>
      </c>
      <c r="Z176" s="337" t="str">
        <f t="shared" si="54"/>
        <v>OK</v>
      </c>
      <c r="AA176" s="337" t="str">
        <f t="shared" si="54"/>
        <v>OK</v>
      </c>
      <c r="AB176" s="337" t="str">
        <f t="shared" si="54"/>
        <v>OK</v>
      </c>
      <c r="AC176" s="337" t="str">
        <f t="shared" si="54"/>
        <v>OK</v>
      </c>
      <c r="AD176" s="337" t="str">
        <f t="shared" si="54"/>
        <v>OK</v>
      </c>
      <c r="AE176" s="337" t="str">
        <f t="shared" si="54"/>
        <v>OK</v>
      </c>
      <c r="AF176" s="337" t="str">
        <f t="shared" si="54"/>
        <v>OK</v>
      </c>
      <c r="AG176" s="337" t="str">
        <f t="shared" si="54"/>
        <v>OK</v>
      </c>
      <c r="AH176" s="337" t="str">
        <f t="shared" si="54"/>
        <v>OK</v>
      </c>
      <c r="AI176" s="337" t="str">
        <f t="shared" si="54"/>
        <v>OK</v>
      </c>
      <c r="AJ176" s="337" t="str">
        <f t="shared" si="54"/>
        <v>OK</v>
      </c>
      <c r="AK176" s="337" t="str">
        <f t="shared" si="54"/>
        <v>OK</v>
      </c>
      <c r="AL176" s="338" t="str">
        <f t="shared" si="54"/>
        <v>OK</v>
      </c>
    </row>
    <row r="177" spans="2:39" ht="13.5" hidden="1" customHeight="1" outlineLevel="2">
      <c r="B177" s="221" t="s">
        <v>573</v>
      </c>
      <c r="C177" s="222" t="s">
        <v>573</v>
      </c>
      <c r="D177" s="344" t="s">
        <v>574</v>
      </c>
      <c r="E177" s="333" t="s">
        <v>204</v>
      </c>
      <c r="F177" s="334" t="s">
        <v>204</v>
      </c>
      <c r="G177" s="334" t="s">
        <v>204</v>
      </c>
      <c r="H177" s="335" t="s">
        <v>204</v>
      </c>
      <c r="I177" s="336" t="str">
        <f t="shared" ref="I177:AL177" si="55">IF(I42&gt;=I64,"OK","BŁĄD")</f>
        <v>OK</v>
      </c>
      <c r="J177" s="337" t="str">
        <f t="shared" si="55"/>
        <v>OK</v>
      </c>
      <c r="K177" s="337" t="str">
        <f t="shared" si="55"/>
        <v>OK</v>
      </c>
      <c r="L177" s="337" t="str">
        <f t="shared" si="55"/>
        <v>OK</v>
      </c>
      <c r="M177" s="337" t="str">
        <f t="shared" si="55"/>
        <v>OK</v>
      </c>
      <c r="N177" s="337" t="str">
        <f t="shared" si="55"/>
        <v>OK</v>
      </c>
      <c r="O177" s="337" t="str">
        <f t="shared" si="55"/>
        <v>OK</v>
      </c>
      <c r="P177" s="337" t="str">
        <f t="shared" si="55"/>
        <v>OK</v>
      </c>
      <c r="Q177" s="337" t="str">
        <f t="shared" si="55"/>
        <v>OK</v>
      </c>
      <c r="R177" s="337" t="str">
        <f t="shared" si="55"/>
        <v>OK</v>
      </c>
      <c r="S177" s="337" t="str">
        <f t="shared" si="55"/>
        <v>OK</v>
      </c>
      <c r="T177" s="337" t="str">
        <f t="shared" si="55"/>
        <v>OK</v>
      </c>
      <c r="U177" s="337" t="str">
        <f t="shared" si="55"/>
        <v>OK</v>
      </c>
      <c r="V177" s="337" t="str">
        <f t="shared" si="55"/>
        <v>OK</v>
      </c>
      <c r="W177" s="337" t="str">
        <f t="shared" si="55"/>
        <v>OK</v>
      </c>
      <c r="X177" s="337" t="str">
        <f t="shared" si="55"/>
        <v>OK</v>
      </c>
      <c r="Y177" s="337" t="str">
        <f t="shared" si="55"/>
        <v>OK</v>
      </c>
      <c r="Z177" s="337" t="str">
        <f t="shared" si="55"/>
        <v>OK</v>
      </c>
      <c r="AA177" s="337" t="str">
        <f t="shared" si="55"/>
        <v>OK</v>
      </c>
      <c r="AB177" s="337" t="str">
        <f t="shared" si="55"/>
        <v>OK</v>
      </c>
      <c r="AC177" s="337" t="str">
        <f t="shared" si="55"/>
        <v>OK</v>
      </c>
      <c r="AD177" s="337" t="str">
        <f t="shared" si="55"/>
        <v>OK</v>
      </c>
      <c r="AE177" s="337" t="str">
        <f t="shared" si="55"/>
        <v>OK</v>
      </c>
      <c r="AF177" s="337" t="str">
        <f t="shared" si="55"/>
        <v>OK</v>
      </c>
      <c r="AG177" s="337" t="str">
        <f t="shared" si="55"/>
        <v>OK</v>
      </c>
      <c r="AH177" s="337" t="str">
        <f t="shared" si="55"/>
        <v>OK</v>
      </c>
      <c r="AI177" s="337" t="str">
        <f t="shared" si="55"/>
        <v>OK</v>
      </c>
      <c r="AJ177" s="337" t="str">
        <f t="shared" si="55"/>
        <v>OK</v>
      </c>
      <c r="AK177" s="337" t="str">
        <f t="shared" si="55"/>
        <v>OK</v>
      </c>
      <c r="AL177" s="338" t="str">
        <f t="shared" si="55"/>
        <v>OK</v>
      </c>
    </row>
    <row r="178" spans="2:39" ht="13.5" hidden="1" customHeight="1" outlineLevel="2">
      <c r="B178" s="221" t="s">
        <v>575</v>
      </c>
      <c r="C178" s="222" t="s">
        <v>575</v>
      </c>
      <c r="D178" s="344" t="s">
        <v>576</v>
      </c>
      <c r="E178" s="333" t="s">
        <v>204</v>
      </c>
      <c r="F178" s="334" t="s">
        <v>204</v>
      </c>
      <c r="G178" s="334" t="s">
        <v>204</v>
      </c>
      <c r="H178" s="335" t="s">
        <v>204</v>
      </c>
      <c r="I178" s="336" t="str">
        <f t="shared" ref="I178:AL178" si="56">IF(I42&gt;=I104,"OK","BŁĄD")</f>
        <v>OK</v>
      </c>
      <c r="J178" s="337" t="str">
        <f t="shared" si="56"/>
        <v>OK</v>
      </c>
      <c r="K178" s="337" t="str">
        <f t="shared" si="56"/>
        <v>OK</v>
      </c>
      <c r="L178" s="337" t="str">
        <f t="shared" si="56"/>
        <v>OK</v>
      </c>
      <c r="M178" s="337" t="str">
        <f t="shared" si="56"/>
        <v>OK</v>
      </c>
      <c r="N178" s="337" t="str">
        <f t="shared" si="56"/>
        <v>OK</v>
      </c>
      <c r="O178" s="337" t="str">
        <f t="shared" si="56"/>
        <v>OK</v>
      </c>
      <c r="P178" s="337" t="str">
        <f t="shared" si="56"/>
        <v>OK</v>
      </c>
      <c r="Q178" s="337" t="str">
        <f t="shared" si="56"/>
        <v>OK</v>
      </c>
      <c r="R178" s="337" t="str">
        <f t="shared" si="56"/>
        <v>OK</v>
      </c>
      <c r="S178" s="337" t="str">
        <f t="shared" si="56"/>
        <v>OK</v>
      </c>
      <c r="T178" s="337" t="str">
        <f t="shared" si="56"/>
        <v>OK</v>
      </c>
      <c r="U178" s="337" t="str">
        <f t="shared" si="56"/>
        <v>OK</v>
      </c>
      <c r="V178" s="337" t="str">
        <f t="shared" si="56"/>
        <v>OK</v>
      </c>
      <c r="W178" s="337" t="str">
        <f t="shared" si="56"/>
        <v>OK</v>
      </c>
      <c r="X178" s="337" t="str">
        <f t="shared" si="56"/>
        <v>OK</v>
      </c>
      <c r="Y178" s="337" t="str">
        <f t="shared" si="56"/>
        <v>OK</v>
      </c>
      <c r="Z178" s="337" t="str">
        <f t="shared" si="56"/>
        <v>OK</v>
      </c>
      <c r="AA178" s="337" t="str">
        <f t="shared" si="56"/>
        <v>OK</v>
      </c>
      <c r="AB178" s="337" t="str">
        <f t="shared" si="56"/>
        <v>OK</v>
      </c>
      <c r="AC178" s="337" t="str">
        <f t="shared" si="56"/>
        <v>OK</v>
      </c>
      <c r="AD178" s="337" t="str">
        <f t="shared" si="56"/>
        <v>OK</v>
      </c>
      <c r="AE178" s="337" t="str">
        <f t="shared" si="56"/>
        <v>OK</v>
      </c>
      <c r="AF178" s="337" t="str">
        <f t="shared" si="56"/>
        <v>OK</v>
      </c>
      <c r="AG178" s="337" t="str">
        <f t="shared" si="56"/>
        <v>OK</v>
      </c>
      <c r="AH178" s="337" t="str">
        <f t="shared" si="56"/>
        <v>OK</v>
      </c>
      <c r="AI178" s="337" t="str">
        <f t="shared" si="56"/>
        <v>OK</v>
      </c>
      <c r="AJ178" s="337" t="str">
        <f t="shared" si="56"/>
        <v>OK</v>
      </c>
      <c r="AK178" s="337" t="str">
        <f t="shared" si="56"/>
        <v>OK</v>
      </c>
      <c r="AL178" s="338" t="str">
        <f t="shared" si="56"/>
        <v>OK</v>
      </c>
    </row>
    <row r="179" spans="2:39" ht="13.5" hidden="1" customHeight="1" outlineLevel="2">
      <c r="B179" s="221" t="s">
        <v>577</v>
      </c>
      <c r="C179" s="222" t="s">
        <v>577</v>
      </c>
      <c r="D179" s="344" t="s">
        <v>578</v>
      </c>
      <c r="E179" s="333" t="s">
        <v>204</v>
      </c>
      <c r="F179" s="334" t="s">
        <v>204</v>
      </c>
      <c r="G179" s="334" t="s">
        <v>204</v>
      </c>
      <c r="H179" s="335" t="s">
        <v>204</v>
      </c>
      <c r="I179" s="336" t="str">
        <f t="shared" ref="I179:AL179" si="57">IF(I48&gt;=I49,"OK","BŁĄD")</f>
        <v>OK</v>
      </c>
      <c r="J179" s="337" t="str">
        <f t="shared" si="57"/>
        <v>OK</v>
      </c>
      <c r="K179" s="337" t="str">
        <f t="shared" si="57"/>
        <v>OK</v>
      </c>
      <c r="L179" s="337" t="str">
        <f t="shared" si="57"/>
        <v>OK</v>
      </c>
      <c r="M179" s="337" t="str">
        <f t="shared" si="57"/>
        <v>OK</v>
      </c>
      <c r="N179" s="337" t="str">
        <f t="shared" si="57"/>
        <v>OK</v>
      </c>
      <c r="O179" s="337" t="str">
        <f t="shared" si="57"/>
        <v>OK</v>
      </c>
      <c r="P179" s="337" t="str">
        <f t="shared" si="57"/>
        <v>OK</v>
      </c>
      <c r="Q179" s="337" t="str">
        <f t="shared" si="57"/>
        <v>OK</v>
      </c>
      <c r="R179" s="337" t="str">
        <f t="shared" si="57"/>
        <v>OK</v>
      </c>
      <c r="S179" s="337" t="str">
        <f t="shared" si="57"/>
        <v>OK</v>
      </c>
      <c r="T179" s="337" t="str">
        <f t="shared" si="57"/>
        <v>OK</v>
      </c>
      <c r="U179" s="337" t="str">
        <f t="shared" si="57"/>
        <v>OK</v>
      </c>
      <c r="V179" s="337" t="str">
        <f t="shared" si="57"/>
        <v>OK</v>
      </c>
      <c r="W179" s="337" t="str">
        <f t="shared" si="57"/>
        <v>OK</v>
      </c>
      <c r="X179" s="337" t="str">
        <f t="shared" si="57"/>
        <v>OK</v>
      </c>
      <c r="Y179" s="337" t="str">
        <f t="shared" si="57"/>
        <v>OK</v>
      </c>
      <c r="Z179" s="337" t="str">
        <f t="shared" si="57"/>
        <v>OK</v>
      </c>
      <c r="AA179" s="337" t="str">
        <f t="shared" si="57"/>
        <v>OK</v>
      </c>
      <c r="AB179" s="337" t="str">
        <f t="shared" si="57"/>
        <v>OK</v>
      </c>
      <c r="AC179" s="337" t="str">
        <f t="shared" si="57"/>
        <v>OK</v>
      </c>
      <c r="AD179" s="337" t="str">
        <f t="shared" si="57"/>
        <v>OK</v>
      </c>
      <c r="AE179" s="337" t="str">
        <f t="shared" si="57"/>
        <v>OK</v>
      </c>
      <c r="AF179" s="337" t="str">
        <f t="shared" si="57"/>
        <v>OK</v>
      </c>
      <c r="AG179" s="337" t="str">
        <f t="shared" si="57"/>
        <v>OK</v>
      </c>
      <c r="AH179" s="337" t="str">
        <f t="shared" si="57"/>
        <v>OK</v>
      </c>
      <c r="AI179" s="337" t="str">
        <f t="shared" si="57"/>
        <v>OK</v>
      </c>
      <c r="AJ179" s="337" t="str">
        <f t="shared" si="57"/>
        <v>OK</v>
      </c>
      <c r="AK179" s="337" t="str">
        <f t="shared" si="57"/>
        <v>OK</v>
      </c>
      <c r="AL179" s="338" t="str">
        <f t="shared" si="57"/>
        <v>OK</v>
      </c>
    </row>
    <row r="180" spans="2:39" ht="13.5" hidden="1" customHeight="1" outlineLevel="2">
      <c r="B180" s="221" t="s">
        <v>579</v>
      </c>
      <c r="C180" s="222" t="s">
        <v>579</v>
      </c>
      <c r="D180" s="344" t="s">
        <v>580</v>
      </c>
      <c r="E180" s="333" t="s">
        <v>204</v>
      </c>
      <c r="F180" s="334" t="s">
        <v>204</v>
      </c>
      <c r="G180" s="334" t="s">
        <v>204</v>
      </c>
      <c r="H180" s="335" t="s">
        <v>204</v>
      </c>
      <c r="I180" s="336" t="str">
        <f t="shared" ref="I180:AL180" si="58">IF(I48&gt;=I105,"OK","BŁĄD")</f>
        <v>OK</v>
      </c>
      <c r="J180" s="337" t="str">
        <f t="shared" si="58"/>
        <v>OK</v>
      </c>
      <c r="K180" s="337" t="str">
        <f t="shared" si="58"/>
        <v>OK</v>
      </c>
      <c r="L180" s="337" t="str">
        <f t="shared" si="58"/>
        <v>OK</v>
      </c>
      <c r="M180" s="337" t="str">
        <f t="shared" si="58"/>
        <v>OK</v>
      </c>
      <c r="N180" s="337" t="str">
        <f t="shared" si="58"/>
        <v>OK</v>
      </c>
      <c r="O180" s="337" t="str">
        <f t="shared" si="58"/>
        <v>OK</v>
      </c>
      <c r="P180" s="337" t="str">
        <f t="shared" si="58"/>
        <v>OK</v>
      </c>
      <c r="Q180" s="337" t="str">
        <f t="shared" si="58"/>
        <v>OK</v>
      </c>
      <c r="R180" s="337" t="str">
        <f t="shared" si="58"/>
        <v>OK</v>
      </c>
      <c r="S180" s="337" t="str">
        <f t="shared" si="58"/>
        <v>OK</v>
      </c>
      <c r="T180" s="337" t="str">
        <f t="shared" si="58"/>
        <v>OK</v>
      </c>
      <c r="U180" s="337" t="str">
        <f t="shared" si="58"/>
        <v>OK</v>
      </c>
      <c r="V180" s="337" t="str">
        <f t="shared" si="58"/>
        <v>OK</v>
      </c>
      <c r="W180" s="337" t="str">
        <f t="shared" si="58"/>
        <v>OK</v>
      </c>
      <c r="X180" s="337" t="str">
        <f t="shared" si="58"/>
        <v>OK</v>
      </c>
      <c r="Y180" s="337" t="str">
        <f t="shared" si="58"/>
        <v>OK</v>
      </c>
      <c r="Z180" s="337" t="str">
        <f t="shared" si="58"/>
        <v>OK</v>
      </c>
      <c r="AA180" s="337" t="str">
        <f t="shared" si="58"/>
        <v>OK</v>
      </c>
      <c r="AB180" s="337" t="str">
        <f t="shared" si="58"/>
        <v>OK</v>
      </c>
      <c r="AC180" s="337" t="str">
        <f t="shared" si="58"/>
        <v>OK</v>
      </c>
      <c r="AD180" s="337" t="str">
        <f t="shared" si="58"/>
        <v>OK</v>
      </c>
      <c r="AE180" s="337" t="str">
        <f t="shared" si="58"/>
        <v>OK</v>
      </c>
      <c r="AF180" s="337" t="str">
        <f t="shared" si="58"/>
        <v>OK</v>
      </c>
      <c r="AG180" s="337" t="str">
        <f t="shared" si="58"/>
        <v>OK</v>
      </c>
      <c r="AH180" s="337" t="str">
        <f t="shared" si="58"/>
        <v>OK</v>
      </c>
      <c r="AI180" s="337" t="str">
        <f t="shared" si="58"/>
        <v>OK</v>
      </c>
      <c r="AJ180" s="337" t="str">
        <f t="shared" si="58"/>
        <v>OK</v>
      </c>
      <c r="AK180" s="337" t="str">
        <f t="shared" si="58"/>
        <v>OK</v>
      </c>
      <c r="AL180" s="338" t="str">
        <f t="shared" si="58"/>
        <v>OK</v>
      </c>
    </row>
    <row r="181" spans="2:39" ht="13.5" hidden="1" customHeight="1" outlineLevel="2">
      <c r="B181" s="221" t="s">
        <v>581</v>
      </c>
      <c r="C181" s="222" t="s">
        <v>581</v>
      </c>
      <c r="D181" s="344" t="s">
        <v>582</v>
      </c>
      <c r="E181" s="333" t="s">
        <v>204</v>
      </c>
      <c r="F181" s="334" t="s">
        <v>204</v>
      </c>
      <c r="G181" s="334" t="s">
        <v>204</v>
      </c>
      <c r="H181" s="335" t="s">
        <v>204</v>
      </c>
      <c r="I181" s="336" t="str">
        <f t="shared" ref="I181:AL181" si="59">IF(I49&gt;=I96,"OK","BŁĄD")</f>
        <v>OK</v>
      </c>
      <c r="J181" s="337" t="str">
        <f t="shared" si="59"/>
        <v>OK</v>
      </c>
      <c r="K181" s="337" t="str">
        <f t="shared" si="59"/>
        <v>OK</v>
      </c>
      <c r="L181" s="337" t="str">
        <f t="shared" si="59"/>
        <v>OK</v>
      </c>
      <c r="M181" s="337" t="str">
        <f t="shared" si="59"/>
        <v>OK</v>
      </c>
      <c r="N181" s="337" t="str">
        <f t="shared" si="59"/>
        <v>OK</v>
      </c>
      <c r="O181" s="337" t="str">
        <f t="shared" si="59"/>
        <v>OK</v>
      </c>
      <c r="P181" s="337" t="str">
        <f t="shared" si="59"/>
        <v>OK</v>
      </c>
      <c r="Q181" s="337" t="str">
        <f t="shared" si="59"/>
        <v>OK</v>
      </c>
      <c r="R181" s="337" t="str">
        <f t="shared" si="59"/>
        <v>OK</v>
      </c>
      <c r="S181" s="337" t="str">
        <f t="shared" si="59"/>
        <v>OK</v>
      </c>
      <c r="T181" s="337" t="str">
        <f t="shared" si="59"/>
        <v>OK</v>
      </c>
      <c r="U181" s="337" t="str">
        <f t="shared" si="59"/>
        <v>OK</v>
      </c>
      <c r="V181" s="337" t="str">
        <f t="shared" si="59"/>
        <v>OK</v>
      </c>
      <c r="W181" s="337" t="str">
        <f t="shared" si="59"/>
        <v>OK</v>
      </c>
      <c r="X181" s="337" t="str">
        <f t="shared" si="59"/>
        <v>OK</v>
      </c>
      <c r="Y181" s="337" t="str">
        <f t="shared" si="59"/>
        <v>OK</v>
      </c>
      <c r="Z181" s="337" t="str">
        <f t="shared" si="59"/>
        <v>OK</v>
      </c>
      <c r="AA181" s="337" t="str">
        <f t="shared" si="59"/>
        <v>OK</v>
      </c>
      <c r="AB181" s="337" t="str">
        <f t="shared" si="59"/>
        <v>OK</v>
      </c>
      <c r="AC181" s="337" t="str">
        <f t="shared" si="59"/>
        <v>OK</v>
      </c>
      <c r="AD181" s="337" t="str">
        <f t="shared" si="59"/>
        <v>OK</v>
      </c>
      <c r="AE181" s="337" t="str">
        <f t="shared" si="59"/>
        <v>OK</v>
      </c>
      <c r="AF181" s="337" t="str">
        <f t="shared" si="59"/>
        <v>OK</v>
      </c>
      <c r="AG181" s="337" t="str">
        <f t="shared" si="59"/>
        <v>OK</v>
      </c>
      <c r="AH181" s="337" t="str">
        <f t="shared" si="59"/>
        <v>OK</v>
      </c>
      <c r="AI181" s="337" t="str">
        <f t="shared" si="59"/>
        <v>OK</v>
      </c>
      <c r="AJ181" s="337" t="str">
        <f t="shared" si="59"/>
        <v>OK</v>
      </c>
      <c r="AK181" s="337" t="str">
        <f t="shared" si="59"/>
        <v>OK</v>
      </c>
      <c r="AL181" s="338" t="str">
        <f t="shared" si="59"/>
        <v>OK</v>
      </c>
    </row>
    <row r="182" spans="2:39" ht="13.5" hidden="1" customHeight="1" outlineLevel="2">
      <c r="B182" s="225" t="s">
        <v>583</v>
      </c>
      <c r="C182" s="226" t="s">
        <v>583</v>
      </c>
      <c r="D182" s="348" t="s">
        <v>584</v>
      </c>
      <c r="E182" s="349" t="s">
        <v>204</v>
      </c>
      <c r="F182" s="350" t="s">
        <v>204</v>
      </c>
      <c r="G182" s="350" t="s">
        <v>204</v>
      </c>
      <c r="H182" s="351" t="s">
        <v>204</v>
      </c>
      <c r="I182" s="352" t="str">
        <f t="shared" ref="I182:AL182" si="60">IF(I26&lt;&gt;0,IF(I27&lt;&gt;0,"OK","BŁĄD"),"N/D")</f>
        <v>OK</v>
      </c>
      <c r="J182" s="353" t="str">
        <f t="shared" si="60"/>
        <v>OK</v>
      </c>
      <c r="K182" s="353" t="str">
        <f t="shared" si="60"/>
        <v>OK</v>
      </c>
      <c r="L182" s="353" t="str">
        <f t="shared" si="60"/>
        <v>OK</v>
      </c>
      <c r="M182" s="353" t="str">
        <f t="shared" si="60"/>
        <v>OK</v>
      </c>
      <c r="N182" s="353" t="str">
        <f t="shared" si="60"/>
        <v>OK</v>
      </c>
      <c r="O182" s="353" t="str">
        <f t="shared" si="60"/>
        <v>OK</v>
      </c>
      <c r="P182" s="353" t="str">
        <f t="shared" si="60"/>
        <v>OK</v>
      </c>
      <c r="Q182" s="353" t="str">
        <f t="shared" si="60"/>
        <v>OK</v>
      </c>
      <c r="R182" s="353" t="str">
        <f t="shared" si="60"/>
        <v>OK</v>
      </c>
      <c r="S182" s="353" t="str">
        <f t="shared" si="60"/>
        <v>N/D</v>
      </c>
      <c r="T182" s="353" t="str">
        <f t="shared" si="60"/>
        <v>N/D</v>
      </c>
      <c r="U182" s="353" t="str">
        <f t="shared" si="60"/>
        <v>N/D</v>
      </c>
      <c r="V182" s="353" t="str">
        <f t="shared" si="60"/>
        <v>N/D</v>
      </c>
      <c r="W182" s="353" t="str">
        <f t="shared" si="60"/>
        <v>N/D</v>
      </c>
      <c r="X182" s="353" t="str">
        <f t="shared" si="60"/>
        <v>N/D</v>
      </c>
      <c r="Y182" s="353" t="str">
        <f t="shared" si="60"/>
        <v>N/D</v>
      </c>
      <c r="Z182" s="353" t="str">
        <f t="shared" si="60"/>
        <v>N/D</v>
      </c>
      <c r="AA182" s="353" t="str">
        <f t="shared" si="60"/>
        <v>N/D</v>
      </c>
      <c r="AB182" s="353" t="str">
        <f t="shared" si="60"/>
        <v>N/D</v>
      </c>
      <c r="AC182" s="353" t="str">
        <f t="shared" si="60"/>
        <v>N/D</v>
      </c>
      <c r="AD182" s="353" t="str">
        <f t="shared" si="60"/>
        <v>N/D</v>
      </c>
      <c r="AE182" s="353" t="str">
        <f t="shared" si="60"/>
        <v>N/D</v>
      </c>
      <c r="AF182" s="353" t="str">
        <f t="shared" si="60"/>
        <v>N/D</v>
      </c>
      <c r="AG182" s="353" t="str">
        <f t="shared" si="60"/>
        <v>N/D</v>
      </c>
      <c r="AH182" s="353" t="str">
        <f t="shared" si="60"/>
        <v>N/D</v>
      </c>
      <c r="AI182" s="353" t="str">
        <f t="shared" si="60"/>
        <v>N/D</v>
      </c>
      <c r="AJ182" s="353" t="str">
        <f t="shared" si="60"/>
        <v>N/D</v>
      </c>
      <c r="AK182" s="353" t="str">
        <f t="shared" si="60"/>
        <v>N/D</v>
      </c>
      <c r="AL182" s="354" t="str">
        <f t="shared" si="60"/>
        <v>N/D</v>
      </c>
    </row>
    <row r="183" spans="2:39" ht="13.5" hidden="1" customHeight="1" outlineLevel="2">
      <c r="B183" s="355"/>
      <c r="C183" s="355"/>
      <c r="D183" s="355"/>
      <c r="E183" s="356"/>
      <c r="F183" s="356"/>
      <c r="G183" s="356"/>
      <c r="H183" s="356"/>
      <c r="I183" s="357"/>
      <c r="J183" s="357"/>
      <c r="K183" s="357"/>
      <c r="L183" s="357"/>
      <c r="M183" s="357"/>
      <c r="N183" s="357"/>
      <c r="O183" s="357"/>
      <c r="P183" s="357"/>
      <c r="Q183" s="357"/>
      <c r="R183" s="357"/>
      <c r="S183" s="357"/>
      <c r="T183" s="357"/>
      <c r="U183" s="357"/>
      <c r="V183" s="357"/>
      <c r="W183" s="357"/>
      <c r="X183" s="357"/>
      <c r="Y183" s="357"/>
      <c r="Z183" s="357"/>
      <c r="AA183" s="357"/>
      <c r="AB183" s="357"/>
      <c r="AC183" s="357"/>
      <c r="AD183" s="357"/>
      <c r="AE183" s="357"/>
      <c r="AF183" s="357"/>
      <c r="AG183" s="357"/>
      <c r="AH183" s="357"/>
      <c r="AI183" s="357"/>
      <c r="AJ183" s="357"/>
      <c r="AK183" s="357"/>
      <c r="AL183" s="357"/>
    </row>
    <row r="184" spans="2:39" hidden="1" outlineLevel="1">
      <c r="B184" s="355"/>
      <c r="C184" s="355"/>
      <c r="D184" s="324" t="s">
        <v>585</v>
      </c>
      <c r="E184" s="356"/>
      <c r="F184" s="356"/>
      <c r="G184" s="356"/>
      <c r="H184" s="356"/>
      <c r="I184" s="357"/>
      <c r="J184" s="357"/>
      <c r="K184" s="357"/>
      <c r="L184" s="357"/>
      <c r="M184" s="357"/>
      <c r="N184" s="357"/>
      <c r="O184" s="357"/>
      <c r="P184" s="357"/>
      <c r="Q184" s="357"/>
      <c r="R184" s="357"/>
      <c r="S184" s="357"/>
      <c r="T184" s="357"/>
      <c r="U184" s="357"/>
      <c r="V184" s="357"/>
      <c r="W184" s="357"/>
      <c r="X184" s="357"/>
      <c r="Y184" s="357"/>
      <c r="Z184" s="357"/>
      <c r="AA184" s="357"/>
      <c r="AB184" s="357"/>
      <c r="AC184" s="357"/>
      <c r="AD184" s="357"/>
      <c r="AE184" s="357"/>
      <c r="AF184" s="357"/>
      <c r="AG184" s="357"/>
      <c r="AH184" s="357"/>
      <c r="AI184" s="357"/>
      <c r="AJ184" s="357"/>
      <c r="AK184" s="357"/>
      <c r="AL184" s="357"/>
    </row>
    <row r="185" spans="2:39" ht="15" hidden="1" outlineLevel="2">
      <c r="B185" s="358"/>
      <c r="C185" s="359"/>
      <c r="D185" s="360" t="s">
        <v>586</v>
      </c>
      <c r="E185" s="361">
        <f t="shared" ref="E185:AL185" si="61">E11+E18</f>
        <v>18734729.550000001</v>
      </c>
      <c r="F185" s="362">
        <f t="shared" si="61"/>
        <v>20245143.630000003</v>
      </c>
      <c r="G185" s="362">
        <f t="shared" si="61"/>
        <v>24139022.149999999</v>
      </c>
      <c r="H185" s="363">
        <f t="shared" si="61"/>
        <v>20184871.670000002</v>
      </c>
      <c r="I185" s="364">
        <f t="shared" si="61"/>
        <v>21834404.640000001</v>
      </c>
      <c r="J185" s="365">
        <f t="shared" si="61"/>
        <v>20719364</v>
      </c>
      <c r="K185" s="365">
        <f t="shared" si="61"/>
        <v>21240927</v>
      </c>
      <c r="L185" s="365">
        <f t="shared" si="61"/>
        <v>22097480</v>
      </c>
      <c r="M185" s="365">
        <f t="shared" si="61"/>
        <v>22640260</v>
      </c>
      <c r="N185" s="365">
        <f t="shared" si="61"/>
        <v>23725900</v>
      </c>
      <c r="O185" s="365">
        <f t="shared" si="61"/>
        <v>24370936</v>
      </c>
      <c r="P185" s="365">
        <f t="shared" si="61"/>
        <v>26783412</v>
      </c>
      <c r="Q185" s="365">
        <f t="shared" si="61"/>
        <v>29394663</v>
      </c>
      <c r="R185" s="365">
        <f t="shared" si="61"/>
        <v>30905503.420000002</v>
      </c>
      <c r="S185" s="365">
        <f t="shared" si="61"/>
        <v>0</v>
      </c>
      <c r="T185" s="365">
        <f t="shared" si="61"/>
        <v>0</v>
      </c>
      <c r="U185" s="365">
        <f t="shared" si="61"/>
        <v>0</v>
      </c>
      <c r="V185" s="365">
        <f t="shared" si="61"/>
        <v>0</v>
      </c>
      <c r="W185" s="365">
        <f t="shared" si="61"/>
        <v>0</v>
      </c>
      <c r="X185" s="365">
        <f t="shared" si="61"/>
        <v>0</v>
      </c>
      <c r="Y185" s="365">
        <f t="shared" si="61"/>
        <v>0</v>
      </c>
      <c r="Z185" s="365">
        <f t="shared" si="61"/>
        <v>0</v>
      </c>
      <c r="AA185" s="365">
        <f t="shared" si="61"/>
        <v>0</v>
      </c>
      <c r="AB185" s="365">
        <f t="shared" si="61"/>
        <v>0</v>
      </c>
      <c r="AC185" s="365">
        <f t="shared" si="61"/>
        <v>0</v>
      </c>
      <c r="AD185" s="365">
        <f t="shared" si="61"/>
        <v>0</v>
      </c>
      <c r="AE185" s="365">
        <f t="shared" si="61"/>
        <v>0</v>
      </c>
      <c r="AF185" s="365">
        <f t="shared" si="61"/>
        <v>0</v>
      </c>
      <c r="AG185" s="365">
        <f t="shared" si="61"/>
        <v>0</v>
      </c>
      <c r="AH185" s="365">
        <f t="shared" si="61"/>
        <v>0</v>
      </c>
      <c r="AI185" s="365">
        <f t="shared" si="61"/>
        <v>0</v>
      </c>
      <c r="AJ185" s="365">
        <f t="shared" si="61"/>
        <v>0</v>
      </c>
      <c r="AK185" s="365">
        <f t="shared" si="61"/>
        <v>0</v>
      </c>
      <c r="AL185" s="366">
        <f t="shared" si="61"/>
        <v>0</v>
      </c>
      <c r="AM185" s="358"/>
    </row>
    <row r="186" spans="2:39" ht="15" hidden="1" outlineLevel="2">
      <c r="B186" s="358"/>
      <c r="C186" s="359"/>
      <c r="D186" s="367" t="s">
        <v>587</v>
      </c>
      <c r="E186" s="368">
        <f t="shared" ref="E186:AL186" si="62">E22+E30</f>
        <v>18802683.050000001</v>
      </c>
      <c r="F186" s="369">
        <f t="shared" si="62"/>
        <v>24474004.48</v>
      </c>
      <c r="G186" s="369">
        <f t="shared" si="62"/>
        <v>23725361.149999999</v>
      </c>
      <c r="H186" s="370">
        <f t="shared" si="62"/>
        <v>19823836.719999999</v>
      </c>
      <c r="I186" s="371">
        <f t="shared" si="62"/>
        <v>19969883.640000001</v>
      </c>
      <c r="J186" s="372">
        <f t="shared" si="62"/>
        <v>18754843</v>
      </c>
      <c r="K186" s="372">
        <f t="shared" si="62"/>
        <v>19276406</v>
      </c>
      <c r="L186" s="372">
        <f t="shared" si="62"/>
        <v>20132959</v>
      </c>
      <c r="M186" s="372">
        <f t="shared" si="62"/>
        <v>20675739</v>
      </c>
      <c r="N186" s="372">
        <f t="shared" si="62"/>
        <v>21761379</v>
      </c>
      <c r="O186" s="372">
        <f t="shared" si="62"/>
        <v>22446415</v>
      </c>
      <c r="P186" s="372">
        <f t="shared" si="62"/>
        <v>25762285</v>
      </c>
      <c r="Q186" s="372">
        <f t="shared" si="62"/>
        <v>29024700</v>
      </c>
      <c r="R186" s="372">
        <f t="shared" si="62"/>
        <v>30635458</v>
      </c>
      <c r="S186" s="372">
        <f t="shared" si="62"/>
        <v>0</v>
      </c>
      <c r="T186" s="372">
        <f t="shared" si="62"/>
        <v>0</v>
      </c>
      <c r="U186" s="372">
        <f t="shared" si="62"/>
        <v>0</v>
      </c>
      <c r="V186" s="372">
        <f t="shared" si="62"/>
        <v>0</v>
      </c>
      <c r="W186" s="372">
        <f t="shared" si="62"/>
        <v>0</v>
      </c>
      <c r="X186" s="372">
        <f t="shared" si="62"/>
        <v>0</v>
      </c>
      <c r="Y186" s="372">
        <f t="shared" si="62"/>
        <v>0</v>
      </c>
      <c r="Z186" s="372">
        <f t="shared" si="62"/>
        <v>0</v>
      </c>
      <c r="AA186" s="372">
        <f t="shared" si="62"/>
        <v>0</v>
      </c>
      <c r="AB186" s="372">
        <f t="shared" si="62"/>
        <v>0</v>
      </c>
      <c r="AC186" s="372">
        <f t="shared" si="62"/>
        <v>0</v>
      </c>
      <c r="AD186" s="372">
        <f t="shared" si="62"/>
        <v>0</v>
      </c>
      <c r="AE186" s="372">
        <f t="shared" si="62"/>
        <v>0</v>
      </c>
      <c r="AF186" s="372">
        <f t="shared" si="62"/>
        <v>0</v>
      </c>
      <c r="AG186" s="372">
        <f t="shared" si="62"/>
        <v>0</v>
      </c>
      <c r="AH186" s="372">
        <f t="shared" si="62"/>
        <v>0</v>
      </c>
      <c r="AI186" s="372">
        <f t="shared" si="62"/>
        <v>0</v>
      </c>
      <c r="AJ186" s="372">
        <f t="shared" si="62"/>
        <v>0</v>
      </c>
      <c r="AK186" s="372">
        <f t="shared" si="62"/>
        <v>0</v>
      </c>
      <c r="AL186" s="373">
        <f t="shared" si="62"/>
        <v>0</v>
      </c>
      <c r="AM186" s="358"/>
    </row>
    <row r="187" spans="2:39" ht="15" hidden="1" outlineLevel="2">
      <c r="B187" s="358"/>
      <c r="C187" s="359"/>
      <c r="D187" s="367" t="s">
        <v>588</v>
      </c>
      <c r="E187" s="368">
        <f t="shared" ref="E187:AL187" si="63">E10-E21</f>
        <v>-67953.5</v>
      </c>
      <c r="F187" s="369">
        <f t="shared" si="63"/>
        <v>-4228860.8500000015</v>
      </c>
      <c r="G187" s="369">
        <f t="shared" si="63"/>
        <v>413661</v>
      </c>
      <c r="H187" s="370">
        <f t="shared" si="63"/>
        <v>361034.95000000298</v>
      </c>
      <c r="I187" s="371">
        <f t="shared" si="63"/>
        <v>1864521</v>
      </c>
      <c r="J187" s="372">
        <f t="shared" si="63"/>
        <v>1964521</v>
      </c>
      <c r="K187" s="372">
        <f t="shared" si="63"/>
        <v>1964521</v>
      </c>
      <c r="L187" s="372">
        <f t="shared" si="63"/>
        <v>1964521</v>
      </c>
      <c r="M187" s="372">
        <f t="shared" si="63"/>
        <v>1964521</v>
      </c>
      <c r="N187" s="372">
        <f t="shared" si="63"/>
        <v>1964521</v>
      </c>
      <c r="O187" s="372">
        <f t="shared" si="63"/>
        <v>1924521</v>
      </c>
      <c r="P187" s="372">
        <f t="shared" si="63"/>
        <v>1021127</v>
      </c>
      <c r="Q187" s="372">
        <f t="shared" si="63"/>
        <v>369963</v>
      </c>
      <c r="R187" s="372">
        <f t="shared" si="63"/>
        <v>270045.42000000179</v>
      </c>
      <c r="S187" s="372">
        <f t="shared" si="63"/>
        <v>0</v>
      </c>
      <c r="T187" s="372">
        <f t="shared" si="63"/>
        <v>0</v>
      </c>
      <c r="U187" s="372">
        <f t="shared" si="63"/>
        <v>0</v>
      </c>
      <c r="V187" s="372">
        <f t="shared" si="63"/>
        <v>0</v>
      </c>
      <c r="W187" s="372">
        <f t="shared" si="63"/>
        <v>0</v>
      </c>
      <c r="X187" s="372">
        <f t="shared" si="63"/>
        <v>0</v>
      </c>
      <c r="Y187" s="372">
        <f t="shared" si="63"/>
        <v>0</v>
      </c>
      <c r="Z187" s="372">
        <f t="shared" si="63"/>
        <v>0</v>
      </c>
      <c r="AA187" s="372">
        <f t="shared" si="63"/>
        <v>0</v>
      </c>
      <c r="AB187" s="372">
        <f t="shared" si="63"/>
        <v>0</v>
      </c>
      <c r="AC187" s="372">
        <f t="shared" si="63"/>
        <v>0</v>
      </c>
      <c r="AD187" s="372">
        <f t="shared" si="63"/>
        <v>0</v>
      </c>
      <c r="AE187" s="372">
        <f t="shared" si="63"/>
        <v>0</v>
      </c>
      <c r="AF187" s="372">
        <f t="shared" si="63"/>
        <v>0</v>
      </c>
      <c r="AG187" s="372">
        <f t="shared" si="63"/>
        <v>0</v>
      </c>
      <c r="AH187" s="372">
        <f t="shared" si="63"/>
        <v>0</v>
      </c>
      <c r="AI187" s="372">
        <f t="shared" si="63"/>
        <v>0</v>
      </c>
      <c r="AJ187" s="372">
        <f t="shared" si="63"/>
        <v>0</v>
      </c>
      <c r="AK187" s="372">
        <f t="shared" si="63"/>
        <v>0</v>
      </c>
      <c r="AL187" s="373">
        <f t="shared" si="63"/>
        <v>0</v>
      </c>
      <c r="AM187" s="358"/>
    </row>
    <row r="188" spans="2:39" ht="15" hidden="1" outlineLevel="2">
      <c r="B188" s="358"/>
      <c r="C188" s="359"/>
      <c r="D188" s="374" t="s">
        <v>589</v>
      </c>
      <c r="E188" s="375" t="s">
        <v>204</v>
      </c>
      <c r="F188" s="369">
        <f>E48+F37-F42+(F105-E105)+F110</f>
        <v>19551002.510000002</v>
      </c>
      <c r="G188" s="376" t="s">
        <v>204</v>
      </c>
      <c r="H188" s="370">
        <f>F48+H37-H42+(H105-F105)+H110</f>
        <v>17851173.010000002</v>
      </c>
      <c r="I188" s="371">
        <f t="shared" ref="I188:AL188" si="64">H48+I37-I42+(I105-H105)+I110</f>
        <v>15106620.550000001</v>
      </c>
      <c r="J188" s="372">
        <f t="shared" si="64"/>
        <v>12462645.140000001</v>
      </c>
      <c r="K188" s="372">
        <f t="shared" si="64"/>
        <v>9818670.4199999999</v>
      </c>
      <c r="L188" s="372">
        <f t="shared" si="64"/>
        <v>7525684.4199999999</v>
      </c>
      <c r="M188" s="372">
        <f t="shared" si="64"/>
        <v>5550177.4199999999</v>
      </c>
      <c r="N188" s="372">
        <f t="shared" si="64"/>
        <v>3585656.42</v>
      </c>
      <c r="O188" s="372">
        <f t="shared" si="64"/>
        <v>1661135.42</v>
      </c>
      <c r="P188" s="372">
        <f t="shared" si="64"/>
        <v>640008.41999999993</v>
      </c>
      <c r="Q188" s="372">
        <f t="shared" si="64"/>
        <v>270045.42000000004</v>
      </c>
      <c r="R188" s="372">
        <f t="shared" si="64"/>
        <v>0</v>
      </c>
      <c r="S188" s="372">
        <f t="shared" si="64"/>
        <v>0</v>
      </c>
      <c r="T188" s="372">
        <f t="shared" si="64"/>
        <v>0</v>
      </c>
      <c r="U188" s="372">
        <f t="shared" si="64"/>
        <v>0</v>
      </c>
      <c r="V188" s="372">
        <f t="shared" si="64"/>
        <v>0</v>
      </c>
      <c r="W188" s="372">
        <f t="shared" si="64"/>
        <v>0</v>
      </c>
      <c r="X188" s="372">
        <f t="shared" si="64"/>
        <v>0</v>
      </c>
      <c r="Y188" s="372">
        <f t="shared" si="64"/>
        <v>0</v>
      </c>
      <c r="Z188" s="372">
        <f t="shared" si="64"/>
        <v>0</v>
      </c>
      <c r="AA188" s="372">
        <f t="shared" si="64"/>
        <v>0</v>
      </c>
      <c r="AB188" s="372">
        <f t="shared" si="64"/>
        <v>0</v>
      </c>
      <c r="AC188" s="372">
        <f t="shared" si="64"/>
        <v>0</v>
      </c>
      <c r="AD188" s="372">
        <f t="shared" si="64"/>
        <v>0</v>
      </c>
      <c r="AE188" s="372">
        <f t="shared" si="64"/>
        <v>0</v>
      </c>
      <c r="AF188" s="372">
        <f t="shared" si="64"/>
        <v>0</v>
      </c>
      <c r="AG188" s="372">
        <f t="shared" si="64"/>
        <v>0</v>
      </c>
      <c r="AH188" s="372">
        <f t="shared" si="64"/>
        <v>0</v>
      </c>
      <c r="AI188" s="372">
        <f t="shared" si="64"/>
        <v>0</v>
      </c>
      <c r="AJ188" s="372">
        <f t="shared" si="64"/>
        <v>0</v>
      </c>
      <c r="AK188" s="372">
        <f t="shared" si="64"/>
        <v>0</v>
      </c>
      <c r="AL188" s="373">
        <f t="shared" si="64"/>
        <v>0</v>
      </c>
      <c r="AM188" s="358"/>
    </row>
    <row r="189" spans="2:39" ht="24" hidden="1" outlineLevel="2">
      <c r="B189" s="358"/>
      <c r="C189" s="359"/>
      <c r="D189" s="377" t="s">
        <v>590</v>
      </c>
      <c r="E189" s="378" t="s">
        <v>204</v>
      </c>
      <c r="F189" s="379">
        <f>E96-(F98+F99+F100+F101)</f>
        <v>0</v>
      </c>
      <c r="G189" s="380" t="s">
        <v>204</v>
      </c>
      <c r="H189" s="381">
        <f>F96-(H98+H99+H100+H101)</f>
        <v>0</v>
      </c>
      <c r="I189" s="382">
        <f t="shared" ref="I189:AL189" si="65">H96-(I98+I99+I100+I101)</f>
        <v>0</v>
      </c>
      <c r="J189" s="383">
        <f t="shared" si="65"/>
        <v>0</v>
      </c>
      <c r="K189" s="383">
        <f t="shared" si="65"/>
        <v>0</v>
      </c>
      <c r="L189" s="383">
        <f t="shared" si="65"/>
        <v>0</v>
      </c>
      <c r="M189" s="383">
        <f t="shared" si="65"/>
        <v>0</v>
      </c>
      <c r="N189" s="383">
        <f t="shared" si="65"/>
        <v>0</v>
      </c>
      <c r="O189" s="383">
        <f t="shared" si="65"/>
        <v>0</v>
      </c>
      <c r="P189" s="383">
        <f t="shared" si="65"/>
        <v>0</v>
      </c>
      <c r="Q189" s="383">
        <f t="shared" si="65"/>
        <v>0</v>
      </c>
      <c r="R189" s="383">
        <f t="shared" si="65"/>
        <v>0</v>
      </c>
      <c r="S189" s="383">
        <f t="shared" si="65"/>
        <v>0</v>
      </c>
      <c r="T189" s="383">
        <f t="shared" si="65"/>
        <v>0</v>
      </c>
      <c r="U189" s="383">
        <f t="shared" si="65"/>
        <v>0</v>
      </c>
      <c r="V189" s="383">
        <f t="shared" si="65"/>
        <v>0</v>
      </c>
      <c r="W189" s="383">
        <f t="shared" si="65"/>
        <v>0</v>
      </c>
      <c r="X189" s="383">
        <f t="shared" si="65"/>
        <v>0</v>
      </c>
      <c r="Y189" s="383">
        <f t="shared" si="65"/>
        <v>0</v>
      </c>
      <c r="Z189" s="383">
        <f t="shared" si="65"/>
        <v>0</v>
      </c>
      <c r="AA189" s="383">
        <f t="shared" si="65"/>
        <v>0</v>
      </c>
      <c r="AB189" s="383">
        <f t="shared" si="65"/>
        <v>0</v>
      </c>
      <c r="AC189" s="383">
        <f t="shared" si="65"/>
        <v>0</v>
      </c>
      <c r="AD189" s="383">
        <f t="shared" si="65"/>
        <v>0</v>
      </c>
      <c r="AE189" s="383">
        <f t="shared" si="65"/>
        <v>0</v>
      </c>
      <c r="AF189" s="383">
        <f t="shared" si="65"/>
        <v>0</v>
      </c>
      <c r="AG189" s="383">
        <f t="shared" si="65"/>
        <v>0</v>
      </c>
      <c r="AH189" s="383">
        <f t="shared" si="65"/>
        <v>0</v>
      </c>
      <c r="AI189" s="383">
        <f t="shared" si="65"/>
        <v>0</v>
      </c>
      <c r="AJ189" s="383">
        <f t="shared" si="65"/>
        <v>0</v>
      </c>
      <c r="AK189" s="383">
        <f t="shared" si="65"/>
        <v>0</v>
      </c>
      <c r="AL189" s="384">
        <f t="shared" si="65"/>
        <v>0</v>
      </c>
      <c r="AM189" s="358"/>
    </row>
    <row r="190" spans="2:39" hidden="1">
      <c r="E190" s="385"/>
      <c r="F190" s="385"/>
      <c r="G190" s="385"/>
      <c r="H190" s="385"/>
    </row>
    <row r="191" spans="2:39" ht="15.75" hidden="1">
      <c r="D191" s="386" t="s">
        <v>591</v>
      </c>
      <c r="E191" s="387"/>
      <c r="F191" s="387"/>
      <c r="G191" s="387"/>
      <c r="H191" s="387"/>
    </row>
    <row r="192" spans="2:39" hidden="1" outlineLevel="1">
      <c r="D192" s="388" t="s">
        <v>592</v>
      </c>
      <c r="E192" s="389"/>
      <c r="F192" s="389"/>
      <c r="G192" s="389"/>
      <c r="H192" s="389"/>
    </row>
    <row r="193" spans="2:39" hidden="1" outlineLevel="2">
      <c r="D193" s="227">
        <v>0</v>
      </c>
      <c r="E193" s="390" t="str">
        <f>+"różnica mniejsza od "&amp;TEXT(D193*100,"0,0")&amp;"%"</f>
        <v>różnica mniejsza od 0,0%</v>
      </c>
      <c r="F193" s="228"/>
      <c r="G193" s="228"/>
      <c r="H193" s="228"/>
      <c r="I193" s="270"/>
      <c r="J193" s="391"/>
      <c r="K193" s="391"/>
      <c r="L193" s="391"/>
      <c r="M193" s="391"/>
      <c r="N193" s="391"/>
      <c r="O193" s="391"/>
      <c r="P193" s="391"/>
      <c r="Q193" s="391"/>
      <c r="R193" s="391"/>
      <c r="S193" s="391"/>
      <c r="T193" s="391"/>
      <c r="U193" s="391"/>
      <c r="V193" s="391"/>
      <c r="W193" s="391"/>
      <c r="X193" s="391"/>
      <c r="Y193" s="391"/>
      <c r="Z193" s="391"/>
      <c r="AA193" s="391"/>
      <c r="AB193" s="391"/>
      <c r="AC193" s="391"/>
      <c r="AD193" s="391"/>
      <c r="AE193" s="391"/>
      <c r="AF193" s="391"/>
      <c r="AG193" s="391"/>
      <c r="AH193" s="391"/>
      <c r="AI193" s="391"/>
      <c r="AJ193" s="391"/>
      <c r="AK193" s="391"/>
      <c r="AL193" s="391"/>
    </row>
    <row r="194" spans="2:39" hidden="1" outlineLevel="2">
      <c r="D194" s="229">
        <v>5.0000000000000001E-3</v>
      </c>
      <c r="E194" s="390" t="str">
        <f>+"różnica mniejsza od "&amp;TEXT(D194*100,"0,0")&amp;"%"</f>
        <v>różnica mniejsza od 0,5%</v>
      </c>
      <c r="F194" s="228"/>
      <c r="G194" s="228"/>
      <c r="H194" s="228"/>
      <c r="I194" s="270"/>
      <c r="J194" s="391"/>
      <c r="K194" s="391"/>
      <c r="L194" s="391"/>
      <c r="M194" s="391"/>
      <c r="N194" s="391"/>
      <c r="O194" s="391"/>
      <c r="P194" s="391"/>
      <c r="Q194" s="391"/>
      <c r="R194" s="391"/>
      <c r="S194" s="391"/>
      <c r="T194" s="391"/>
      <c r="U194" s="391"/>
      <c r="V194" s="391"/>
      <c r="W194" s="391"/>
      <c r="X194" s="391"/>
      <c r="Y194" s="391"/>
      <c r="Z194" s="391"/>
      <c r="AA194" s="391"/>
      <c r="AB194" s="391"/>
      <c r="AC194" s="391"/>
      <c r="AD194" s="391"/>
      <c r="AE194" s="391"/>
      <c r="AF194" s="391"/>
      <c r="AG194" s="391"/>
      <c r="AH194" s="391"/>
      <c r="AI194" s="391"/>
      <c r="AJ194" s="391"/>
      <c r="AK194" s="391"/>
      <c r="AL194" s="391"/>
    </row>
    <row r="195" spans="2:39" hidden="1" outlineLevel="2">
      <c r="D195" s="230">
        <v>0.01</v>
      </c>
      <c r="E195" s="390" t="str">
        <f>+"różnica mniejsza od "&amp;TEXT(D195*100,"0,0")&amp;"%"</f>
        <v>różnica mniejsza od 1,0%</v>
      </c>
      <c r="F195" s="228"/>
      <c r="G195" s="228"/>
      <c r="H195" s="228"/>
      <c r="I195" s="270"/>
      <c r="J195" s="391"/>
      <c r="K195" s="391"/>
      <c r="L195" s="391"/>
      <c r="M195" s="391"/>
      <c r="N195" s="391"/>
      <c r="O195" s="391"/>
      <c r="P195" s="391"/>
      <c r="Q195" s="391"/>
      <c r="R195" s="391"/>
      <c r="S195" s="391"/>
      <c r="T195" s="391"/>
      <c r="U195" s="391"/>
      <c r="V195" s="391"/>
      <c r="W195" s="391"/>
      <c r="X195" s="391"/>
      <c r="Y195" s="391"/>
      <c r="Z195" s="391"/>
      <c r="AA195" s="391"/>
      <c r="AB195" s="391"/>
      <c r="AC195" s="391"/>
      <c r="AD195" s="391"/>
      <c r="AE195" s="391"/>
      <c r="AF195" s="391"/>
      <c r="AG195" s="391"/>
      <c r="AH195" s="391"/>
      <c r="AI195" s="391"/>
      <c r="AJ195" s="391"/>
      <c r="AK195" s="391"/>
      <c r="AL195" s="391"/>
    </row>
    <row r="196" spans="2:39" hidden="1" outlineLevel="2">
      <c r="D196" s="392" t="s">
        <v>593</v>
      </c>
      <c r="E196" s="393" t="s">
        <v>204</v>
      </c>
      <c r="F196" s="394" t="s">
        <v>204</v>
      </c>
      <c r="G196" s="394" t="s">
        <v>204</v>
      </c>
      <c r="H196" s="395" t="s">
        <v>204</v>
      </c>
      <c r="I196" s="396">
        <f t="shared" ref="I196:AL196" si="66">+IF(I10=0,"",I59-I54)</f>
        <v>3.3000000000000113E-3</v>
      </c>
      <c r="J196" s="397">
        <f t="shared" si="66"/>
        <v>-6.5000000000000058E-3</v>
      </c>
      <c r="K196" s="397">
        <f t="shared" si="66"/>
        <v>3.0800000000000008E-2</v>
      </c>
      <c r="L196" s="397">
        <f t="shared" si="66"/>
        <v>5.8099999999999985E-2</v>
      </c>
      <c r="M196" s="397">
        <f t="shared" si="66"/>
        <v>7.46E-2</v>
      </c>
      <c r="N196" s="397">
        <f t="shared" si="66"/>
        <v>8.1500000000000003E-2</v>
      </c>
      <c r="O196" s="397">
        <f t="shared" si="66"/>
        <v>9.2100000000000001E-2</v>
      </c>
      <c r="P196" s="397">
        <f t="shared" si="66"/>
        <v>0.1434</v>
      </c>
      <c r="Q196" s="397">
        <f t="shared" si="66"/>
        <v>0.18230000000000002</v>
      </c>
      <c r="R196" s="397">
        <f t="shared" si="66"/>
        <v>0.1948</v>
      </c>
      <c r="S196" s="397" t="str">
        <f t="shared" si="66"/>
        <v/>
      </c>
      <c r="T196" s="397" t="str">
        <f t="shared" si="66"/>
        <v/>
      </c>
      <c r="U196" s="397" t="str">
        <f t="shared" si="66"/>
        <v/>
      </c>
      <c r="V196" s="397" t="str">
        <f t="shared" si="66"/>
        <v/>
      </c>
      <c r="W196" s="397" t="str">
        <f t="shared" si="66"/>
        <v/>
      </c>
      <c r="X196" s="397" t="str">
        <f t="shared" si="66"/>
        <v/>
      </c>
      <c r="Y196" s="397" t="str">
        <f t="shared" si="66"/>
        <v/>
      </c>
      <c r="Z196" s="397" t="str">
        <f t="shared" si="66"/>
        <v/>
      </c>
      <c r="AA196" s="397" t="str">
        <f t="shared" si="66"/>
        <v/>
      </c>
      <c r="AB196" s="397" t="str">
        <f t="shared" si="66"/>
        <v/>
      </c>
      <c r="AC196" s="397" t="str">
        <f t="shared" si="66"/>
        <v/>
      </c>
      <c r="AD196" s="397" t="str">
        <f t="shared" si="66"/>
        <v/>
      </c>
      <c r="AE196" s="397" t="str">
        <f t="shared" si="66"/>
        <v/>
      </c>
      <c r="AF196" s="397" t="str">
        <f t="shared" si="66"/>
        <v/>
      </c>
      <c r="AG196" s="397" t="str">
        <f t="shared" si="66"/>
        <v/>
      </c>
      <c r="AH196" s="397" t="str">
        <f t="shared" si="66"/>
        <v/>
      </c>
      <c r="AI196" s="397" t="str">
        <f t="shared" si="66"/>
        <v/>
      </c>
      <c r="AJ196" s="397" t="str">
        <f t="shared" si="66"/>
        <v/>
      </c>
      <c r="AK196" s="397" t="str">
        <f t="shared" si="66"/>
        <v/>
      </c>
      <c r="AL196" s="398" t="str">
        <f t="shared" si="66"/>
        <v/>
      </c>
    </row>
    <row r="197" spans="2:39" hidden="1" outlineLevel="2">
      <c r="D197" s="399" t="s">
        <v>594</v>
      </c>
      <c r="E197" s="400" t="s">
        <v>204</v>
      </c>
      <c r="F197" s="401" t="s">
        <v>204</v>
      </c>
      <c r="G197" s="401" t="s">
        <v>204</v>
      </c>
      <c r="H197" s="402" t="s">
        <v>204</v>
      </c>
      <c r="I197" s="403">
        <f t="shared" ref="I197:AL197" si="67">+IF(I10=0,"",I59-I55)</f>
        <v>4.65E-2</v>
      </c>
      <c r="J197" s="404">
        <f t="shared" si="67"/>
        <v>-6.5000000000000058E-3</v>
      </c>
      <c r="K197" s="404">
        <f t="shared" si="67"/>
        <v>3.0800000000000008E-2</v>
      </c>
      <c r="L197" s="404">
        <f t="shared" si="67"/>
        <v>5.8099999999999985E-2</v>
      </c>
      <c r="M197" s="404">
        <f t="shared" si="67"/>
        <v>7.46E-2</v>
      </c>
      <c r="N197" s="404">
        <f t="shared" si="67"/>
        <v>8.1500000000000003E-2</v>
      </c>
      <c r="O197" s="404">
        <f t="shared" si="67"/>
        <v>9.2100000000000001E-2</v>
      </c>
      <c r="P197" s="404">
        <f t="shared" si="67"/>
        <v>0.1434</v>
      </c>
      <c r="Q197" s="404">
        <f t="shared" si="67"/>
        <v>0.18230000000000002</v>
      </c>
      <c r="R197" s="404">
        <f t="shared" si="67"/>
        <v>0.1948</v>
      </c>
      <c r="S197" s="404" t="str">
        <f t="shared" si="67"/>
        <v/>
      </c>
      <c r="T197" s="404" t="str">
        <f t="shared" si="67"/>
        <v/>
      </c>
      <c r="U197" s="404" t="str">
        <f t="shared" si="67"/>
        <v/>
      </c>
      <c r="V197" s="404" t="str">
        <f t="shared" si="67"/>
        <v/>
      </c>
      <c r="W197" s="404" t="str">
        <f t="shared" si="67"/>
        <v/>
      </c>
      <c r="X197" s="404" t="str">
        <f t="shared" si="67"/>
        <v/>
      </c>
      <c r="Y197" s="404" t="str">
        <f t="shared" si="67"/>
        <v/>
      </c>
      <c r="Z197" s="404" t="str">
        <f t="shared" si="67"/>
        <v/>
      </c>
      <c r="AA197" s="404" t="str">
        <f t="shared" si="67"/>
        <v/>
      </c>
      <c r="AB197" s="404" t="str">
        <f t="shared" si="67"/>
        <v/>
      </c>
      <c r="AC197" s="404" t="str">
        <f t="shared" si="67"/>
        <v/>
      </c>
      <c r="AD197" s="404" t="str">
        <f t="shared" si="67"/>
        <v/>
      </c>
      <c r="AE197" s="404" t="str">
        <f t="shared" si="67"/>
        <v/>
      </c>
      <c r="AF197" s="404" t="str">
        <f t="shared" si="67"/>
        <v/>
      </c>
      <c r="AG197" s="404" t="str">
        <f t="shared" si="67"/>
        <v/>
      </c>
      <c r="AH197" s="404" t="str">
        <f t="shared" si="67"/>
        <v/>
      </c>
      <c r="AI197" s="404" t="str">
        <f t="shared" si="67"/>
        <v/>
      </c>
      <c r="AJ197" s="404" t="str">
        <f t="shared" si="67"/>
        <v/>
      </c>
      <c r="AK197" s="404" t="str">
        <f t="shared" si="67"/>
        <v/>
      </c>
      <c r="AL197" s="405" t="str">
        <f t="shared" si="67"/>
        <v/>
      </c>
    </row>
    <row r="198" spans="2:39" hidden="1" outlineLevel="2">
      <c r="D198" s="392" t="s">
        <v>595</v>
      </c>
      <c r="E198" s="393" t="s">
        <v>204</v>
      </c>
      <c r="F198" s="394" t="s">
        <v>204</v>
      </c>
      <c r="G198" s="394" t="s">
        <v>204</v>
      </c>
      <c r="H198" s="395" t="s">
        <v>204</v>
      </c>
      <c r="I198" s="396">
        <f t="shared" ref="I198:AL198" si="68">+IF(I10=0,"",I60-I54)</f>
        <v>7.9000000000000042E-3</v>
      </c>
      <c r="J198" s="397">
        <f t="shared" si="68"/>
        <v>-1.9000000000000128E-3</v>
      </c>
      <c r="K198" s="397">
        <f t="shared" si="68"/>
        <v>3.5400000000000001E-2</v>
      </c>
      <c r="L198" s="397">
        <f t="shared" si="68"/>
        <v>5.8099999999999985E-2</v>
      </c>
      <c r="M198" s="397">
        <f t="shared" si="68"/>
        <v>7.46E-2</v>
      </c>
      <c r="N198" s="397">
        <f t="shared" si="68"/>
        <v>8.1500000000000003E-2</v>
      </c>
      <c r="O198" s="397">
        <f t="shared" si="68"/>
        <v>9.2100000000000001E-2</v>
      </c>
      <c r="P198" s="397">
        <f t="shared" si="68"/>
        <v>0.1434</v>
      </c>
      <c r="Q198" s="397">
        <f t="shared" si="68"/>
        <v>0.18230000000000002</v>
      </c>
      <c r="R198" s="397">
        <f t="shared" si="68"/>
        <v>0.1948</v>
      </c>
      <c r="S198" s="397" t="str">
        <f t="shared" si="68"/>
        <v/>
      </c>
      <c r="T198" s="397" t="str">
        <f t="shared" si="68"/>
        <v/>
      </c>
      <c r="U198" s="397" t="str">
        <f t="shared" si="68"/>
        <v/>
      </c>
      <c r="V198" s="397" t="str">
        <f t="shared" si="68"/>
        <v/>
      </c>
      <c r="W198" s="397" t="str">
        <f t="shared" si="68"/>
        <v/>
      </c>
      <c r="X198" s="397" t="str">
        <f t="shared" si="68"/>
        <v/>
      </c>
      <c r="Y198" s="397" t="str">
        <f t="shared" si="68"/>
        <v/>
      </c>
      <c r="Z198" s="397" t="str">
        <f t="shared" si="68"/>
        <v/>
      </c>
      <c r="AA198" s="397" t="str">
        <f t="shared" si="68"/>
        <v/>
      </c>
      <c r="AB198" s="397" t="str">
        <f t="shared" si="68"/>
        <v/>
      </c>
      <c r="AC198" s="397" t="str">
        <f t="shared" si="68"/>
        <v/>
      </c>
      <c r="AD198" s="397" t="str">
        <f t="shared" si="68"/>
        <v/>
      </c>
      <c r="AE198" s="397" t="str">
        <f t="shared" si="68"/>
        <v/>
      </c>
      <c r="AF198" s="397" t="str">
        <f t="shared" si="68"/>
        <v/>
      </c>
      <c r="AG198" s="397" t="str">
        <f t="shared" si="68"/>
        <v/>
      </c>
      <c r="AH198" s="397" t="str">
        <f t="shared" si="68"/>
        <v/>
      </c>
      <c r="AI198" s="397" t="str">
        <f t="shared" si="68"/>
        <v/>
      </c>
      <c r="AJ198" s="397" t="str">
        <f t="shared" si="68"/>
        <v/>
      </c>
      <c r="AK198" s="397" t="str">
        <f t="shared" si="68"/>
        <v/>
      </c>
      <c r="AL198" s="398" t="str">
        <f t="shared" si="68"/>
        <v/>
      </c>
    </row>
    <row r="199" spans="2:39" hidden="1" outlineLevel="2">
      <c r="D199" s="399" t="s">
        <v>596</v>
      </c>
      <c r="E199" s="400" t="s">
        <v>204</v>
      </c>
      <c r="F199" s="401" t="s">
        <v>204</v>
      </c>
      <c r="G199" s="401" t="s">
        <v>204</v>
      </c>
      <c r="H199" s="402" t="s">
        <v>204</v>
      </c>
      <c r="I199" s="403">
        <f t="shared" ref="I199:AL199" si="69">+IF(I10=0,"",I60-I55)</f>
        <v>5.1099999999999993E-2</v>
      </c>
      <c r="J199" s="404">
        <f t="shared" si="69"/>
        <v>-1.9000000000000128E-3</v>
      </c>
      <c r="K199" s="404">
        <f t="shared" si="69"/>
        <v>3.5400000000000001E-2</v>
      </c>
      <c r="L199" s="404">
        <f t="shared" si="69"/>
        <v>5.8099999999999985E-2</v>
      </c>
      <c r="M199" s="404">
        <f t="shared" si="69"/>
        <v>7.46E-2</v>
      </c>
      <c r="N199" s="404">
        <f t="shared" si="69"/>
        <v>8.1500000000000003E-2</v>
      </c>
      <c r="O199" s="404">
        <f t="shared" si="69"/>
        <v>9.2100000000000001E-2</v>
      </c>
      <c r="P199" s="404">
        <f t="shared" si="69"/>
        <v>0.1434</v>
      </c>
      <c r="Q199" s="404">
        <f t="shared" si="69"/>
        <v>0.18230000000000002</v>
      </c>
      <c r="R199" s="404">
        <f t="shared" si="69"/>
        <v>0.1948</v>
      </c>
      <c r="S199" s="404" t="str">
        <f t="shared" si="69"/>
        <v/>
      </c>
      <c r="T199" s="404" t="str">
        <f t="shared" si="69"/>
        <v/>
      </c>
      <c r="U199" s="404" t="str">
        <f t="shared" si="69"/>
        <v/>
      </c>
      <c r="V199" s="404" t="str">
        <f t="shared" si="69"/>
        <v/>
      </c>
      <c r="W199" s="404" t="str">
        <f t="shared" si="69"/>
        <v/>
      </c>
      <c r="X199" s="404" t="str">
        <f t="shared" si="69"/>
        <v/>
      </c>
      <c r="Y199" s="404" t="str">
        <f t="shared" si="69"/>
        <v/>
      </c>
      <c r="Z199" s="404" t="str">
        <f t="shared" si="69"/>
        <v/>
      </c>
      <c r="AA199" s="404" t="str">
        <f t="shared" si="69"/>
        <v/>
      </c>
      <c r="AB199" s="404" t="str">
        <f t="shared" si="69"/>
        <v/>
      </c>
      <c r="AC199" s="404" t="str">
        <f t="shared" si="69"/>
        <v/>
      </c>
      <c r="AD199" s="404" t="str">
        <f t="shared" si="69"/>
        <v/>
      </c>
      <c r="AE199" s="404" t="str">
        <f t="shared" si="69"/>
        <v/>
      </c>
      <c r="AF199" s="404" t="str">
        <f t="shared" si="69"/>
        <v/>
      </c>
      <c r="AG199" s="404" t="str">
        <f t="shared" si="69"/>
        <v/>
      </c>
      <c r="AH199" s="404" t="str">
        <f t="shared" si="69"/>
        <v/>
      </c>
      <c r="AI199" s="404" t="str">
        <f t="shared" si="69"/>
        <v/>
      </c>
      <c r="AJ199" s="404" t="str">
        <f t="shared" si="69"/>
        <v/>
      </c>
      <c r="AK199" s="404" t="str">
        <f t="shared" si="69"/>
        <v/>
      </c>
      <c r="AL199" s="405" t="str">
        <f t="shared" si="69"/>
        <v/>
      </c>
    </row>
    <row r="200" spans="2:39" hidden="1" outlineLevel="1">
      <c r="D200" s="388" t="s">
        <v>597</v>
      </c>
      <c r="E200" s="389"/>
      <c r="F200" s="389"/>
      <c r="G200" s="389"/>
      <c r="H200" s="389"/>
      <c r="I200" s="391"/>
      <c r="J200" s="391"/>
      <c r="K200" s="391"/>
      <c r="L200" s="391"/>
      <c r="M200" s="391"/>
      <c r="N200" s="391"/>
      <c r="O200" s="391"/>
      <c r="P200" s="391"/>
      <c r="Q200" s="391"/>
      <c r="R200" s="391"/>
      <c r="S200" s="391"/>
      <c r="T200" s="391"/>
      <c r="U200" s="391"/>
      <c r="V200" s="391"/>
      <c r="W200" s="391"/>
      <c r="X200" s="391"/>
      <c r="Y200" s="391"/>
      <c r="Z200" s="391"/>
      <c r="AA200" s="391"/>
      <c r="AB200" s="391"/>
      <c r="AC200" s="391"/>
      <c r="AD200" s="391"/>
      <c r="AE200" s="391"/>
      <c r="AF200" s="391"/>
      <c r="AG200" s="391"/>
      <c r="AH200" s="391"/>
      <c r="AI200" s="391"/>
      <c r="AJ200" s="391"/>
      <c r="AK200" s="391"/>
      <c r="AL200" s="391"/>
    </row>
    <row r="201" spans="2:39" hidden="1" outlineLevel="2">
      <c r="D201" s="231">
        <v>0.05</v>
      </c>
      <c r="E201" s="390" t="str">
        <f>+"zmiana większa niż +/- "&amp;TEXT(D201*100,"0,0")&amp;"%"</f>
        <v>zmiana większa niż +/- 5,0%</v>
      </c>
      <c r="F201" s="232"/>
      <c r="G201" s="232"/>
      <c r="H201" s="232"/>
      <c r="J201" s="391"/>
      <c r="K201" s="391"/>
      <c r="L201" s="391"/>
      <c r="M201" s="391"/>
      <c r="N201" s="391"/>
      <c r="O201" s="391"/>
      <c r="P201" s="391"/>
      <c r="Q201" s="391"/>
      <c r="R201" s="391"/>
      <c r="S201" s="391"/>
      <c r="T201" s="391"/>
      <c r="U201" s="391"/>
      <c r="V201" s="391"/>
      <c r="W201" s="391"/>
      <c r="X201" s="391"/>
      <c r="Y201" s="391"/>
      <c r="Z201" s="391"/>
      <c r="AA201" s="391"/>
      <c r="AB201" s="391"/>
      <c r="AC201" s="391"/>
      <c r="AD201" s="391"/>
      <c r="AE201" s="391"/>
      <c r="AF201" s="391"/>
      <c r="AG201" s="391"/>
      <c r="AH201" s="391"/>
      <c r="AI201" s="391"/>
      <c r="AJ201" s="391"/>
      <c r="AK201" s="391"/>
      <c r="AL201" s="391"/>
    </row>
    <row r="202" spans="2:39" hidden="1" outlineLevel="2">
      <c r="D202" s="233">
        <v>0.1</v>
      </c>
      <c r="E202" s="390" t="str">
        <f>+"zmiana większa niż +/- "&amp;TEXT(D202*100,"0,0")&amp;"%"</f>
        <v>zmiana większa niż +/- 10,0%</v>
      </c>
      <c r="F202" s="232"/>
      <c r="G202" s="232"/>
      <c r="H202" s="232"/>
      <c r="J202" s="391"/>
      <c r="K202" s="391"/>
      <c r="L202" s="391"/>
      <c r="M202" s="391"/>
      <c r="N202" s="391"/>
      <c r="O202" s="391"/>
      <c r="P202" s="391"/>
      <c r="Q202" s="391"/>
      <c r="R202" s="391"/>
      <c r="S202" s="391"/>
      <c r="T202" s="391"/>
      <c r="U202" s="391"/>
      <c r="V202" s="391"/>
      <c r="W202" s="391"/>
      <c r="X202" s="391"/>
      <c r="Y202" s="391"/>
      <c r="Z202" s="391"/>
      <c r="AA202" s="391"/>
      <c r="AB202" s="391"/>
      <c r="AC202" s="391"/>
      <c r="AD202" s="391"/>
      <c r="AE202" s="391"/>
      <c r="AF202" s="391"/>
      <c r="AG202" s="391"/>
      <c r="AH202" s="391"/>
      <c r="AI202" s="391"/>
      <c r="AJ202" s="391"/>
      <c r="AK202" s="391"/>
      <c r="AL202" s="391"/>
    </row>
    <row r="203" spans="2:39" ht="228" hidden="1" outlineLevel="2">
      <c r="D203" s="234">
        <v>0.2</v>
      </c>
      <c r="E203" s="390" t="str">
        <f>+"zmiana większa niż +/- "&amp;TEXT(D203*100,"0,0")&amp;"%"</f>
        <v>zmiana większa niż +/- 20,0%</v>
      </c>
      <c r="F203" s="232"/>
      <c r="G203" s="235" t="s">
        <v>598</v>
      </c>
      <c r="H203" s="235" t="s">
        <v>599</v>
      </c>
      <c r="J203" s="391"/>
      <c r="K203" s="391"/>
      <c r="L203" s="391"/>
      <c r="M203" s="391"/>
      <c r="N203" s="391"/>
      <c r="O203" s="391"/>
      <c r="P203" s="391"/>
      <c r="Q203" s="391"/>
      <c r="R203" s="391"/>
      <c r="S203" s="391"/>
      <c r="T203" s="391"/>
      <c r="U203" s="391"/>
      <c r="V203" s="391"/>
      <c r="W203" s="391"/>
      <c r="X203" s="391"/>
      <c r="Y203" s="391"/>
      <c r="Z203" s="391"/>
      <c r="AA203" s="391"/>
      <c r="AB203" s="391"/>
      <c r="AC203" s="391"/>
      <c r="AD203" s="391"/>
      <c r="AE203" s="391"/>
      <c r="AF203" s="391"/>
      <c r="AG203" s="391"/>
      <c r="AH203" s="391"/>
      <c r="AI203" s="391"/>
      <c r="AJ203" s="391"/>
      <c r="AK203" s="391"/>
      <c r="AL203" s="391"/>
    </row>
    <row r="204" spans="2:39" hidden="1" outlineLevel="2">
      <c r="B204" s="406"/>
      <c r="C204" s="407"/>
      <c r="D204" s="408" t="s">
        <v>205</v>
      </c>
      <c r="E204" s="409" t="s">
        <v>600</v>
      </c>
      <c r="F204" s="410">
        <f t="shared" ref="F204:AL204" si="70">+IF(F10=0,0,IF(E230&lt;&gt;0,F230/E230-1,0))</f>
        <v>8.062107734029178E-2</v>
      </c>
      <c r="G204" s="410">
        <f t="shared" si="70"/>
        <v>0.19233642354751712</v>
      </c>
      <c r="H204" s="411">
        <f t="shared" si="70"/>
        <v>-0.1638074009555518</v>
      </c>
      <c r="I204" s="236">
        <f t="shared" si="70"/>
        <v>8.1721251289976538E-2</v>
      </c>
      <c r="J204" s="237">
        <f t="shared" si="70"/>
        <v>-5.1068057883166595E-2</v>
      </c>
      <c r="K204" s="237">
        <f t="shared" si="70"/>
        <v>2.5172732135986475E-2</v>
      </c>
      <c r="L204" s="237">
        <f t="shared" si="70"/>
        <v>4.0325594076002336E-2</v>
      </c>
      <c r="M204" s="237">
        <f t="shared" si="70"/>
        <v>2.4562981842273457E-2</v>
      </c>
      <c r="N204" s="237">
        <f t="shared" si="70"/>
        <v>4.7951746137190998E-2</v>
      </c>
      <c r="O204" s="237">
        <f t="shared" si="70"/>
        <v>2.7186998174990151E-2</v>
      </c>
      <c r="P204" s="237">
        <f t="shared" si="70"/>
        <v>9.8989878763786399E-2</v>
      </c>
      <c r="Q204" s="237">
        <f t="shared" si="70"/>
        <v>9.7495083897451096E-2</v>
      </c>
      <c r="R204" s="237">
        <f t="shared" si="70"/>
        <v>5.1398460325944306E-2</v>
      </c>
      <c r="S204" s="237">
        <f t="shared" si="70"/>
        <v>0</v>
      </c>
      <c r="T204" s="237">
        <f t="shared" si="70"/>
        <v>0</v>
      </c>
      <c r="U204" s="237">
        <f t="shared" si="70"/>
        <v>0</v>
      </c>
      <c r="V204" s="237">
        <f t="shared" si="70"/>
        <v>0</v>
      </c>
      <c r="W204" s="237">
        <f t="shared" si="70"/>
        <v>0</v>
      </c>
      <c r="X204" s="237">
        <f t="shared" si="70"/>
        <v>0</v>
      </c>
      <c r="Y204" s="237">
        <f t="shared" si="70"/>
        <v>0</v>
      </c>
      <c r="Z204" s="237">
        <f t="shared" si="70"/>
        <v>0</v>
      </c>
      <c r="AA204" s="237">
        <f t="shared" si="70"/>
        <v>0</v>
      </c>
      <c r="AB204" s="237">
        <f t="shared" si="70"/>
        <v>0</v>
      </c>
      <c r="AC204" s="237">
        <f t="shared" si="70"/>
        <v>0</v>
      </c>
      <c r="AD204" s="237">
        <f t="shared" si="70"/>
        <v>0</v>
      </c>
      <c r="AE204" s="237">
        <f t="shared" si="70"/>
        <v>0</v>
      </c>
      <c r="AF204" s="237">
        <f t="shared" si="70"/>
        <v>0</v>
      </c>
      <c r="AG204" s="237">
        <f t="shared" si="70"/>
        <v>0</v>
      </c>
      <c r="AH204" s="237">
        <f t="shared" si="70"/>
        <v>0</v>
      </c>
      <c r="AI204" s="237">
        <f t="shared" si="70"/>
        <v>0</v>
      </c>
      <c r="AJ204" s="237">
        <f t="shared" si="70"/>
        <v>0</v>
      </c>
      <c r="AK204" s="237">
        <f t="shared" si="70"/>
        <v>0</v>
      </c>
      <c r="AL204" s="238">
        <f t="shared" si="70"/>
        <v>0</v>
      </c>
      <c r="AM204" s="412"/>
    </row>
    <row r="205" spans="2:39" ht="15" hidden="1" outlineLevel="2">
      <c r="B205" s="413"/>
      <c r="C205" s="414"/>
      <c r="D205" s="415" t="s">
        <v>601</v>
      </c>
      <c r="E205" s="416" t="s">
        <v>600</v>
      </c>
      <c r="F205" s="417">
        <f t="shared" ref="F205:AL205" si="71">+IF(F10=0,0,IF(E231&lt;&gt;0,F231/E231-1,0))</f>
        <v>8.0305156629977059E-2</v>
      </c>
      <c r="G205" s="417">
        <f t="shared" si="71"/>
        <v>0.24964380182397017</v>
      </c>
      <c r="H205" s="418">
        <f t="shared" si="71"/>
        <v>-0.16320411080216124</v>
      </c>
      <c r="I205" s="239">
        <f t="shared" si="71"/>
        <v>0.12045402794670457</v>
      </c>
      <c r="J205" s="240">
        <f t="shared" si="71"/>
        <v>5.7423751785419253E-3</v>
      </c>
      <c r="K205" s="240">
        <f t="shared" si="71"/>
        <v>2.8764242411696062E-2</v>
      </c>
      <c r="L205" s="240">
        <f t="shared" si="71"/>
        <v>2.9830343961611216E-2</v>
      </c>
      <c r="M205" s="240">
        <f t="shared" si="71"/>
        <v>1.9945178409805919E-3</v>
      </c>
      <c r="N205" s="240">
        <f t="shared" si="71"/>
        <v>3.6763501965711765E-2</v>
      </c>
      <c r="O205" s="240">
        <f t="shared" si="71"/>
        <v>4.0317273013605659E-2</v>
      </c>
      <c r="P205" s="240">
        <f t="shared" si="71"/>
        <v>4.0615692269170056E-2</v>
      </c>
      <c r="Q205" s="240">
        <f t="shared" si="71"/>
        <v>3.9390024640816534E-2</v>
      </c>
      <c r="R205" s="240">
        <f t="shared" si="71"/>
        <v>3.8275313178811166E-2</v>
      </c>
      <c r="S205" s="240">
        <f t="shared" si="71"/>
        <v>0</v>
      </c>
      <c r="T205" s="240">
        <f t="shared" si="71"/>
        <v>0</v>
      </c>
      <c r="U205" s="240">
        <f t="shared" si="71"/>
        <v>0</v>
      </c>
      <c r="V205" s="240">
        <f t="shared" si="71"/>
        <v>0</v>
      </c>
      <c r="W205" s="240">
        <f t="shared" si="71"/>
        <v>0</v>
      </c>
      <c r="X205" s="240">
        <f t="shared" si="71"/>
        <v>0</v>
      </c>
      <c r="Y205" s="240">
        <f t="shared" si="71"/>
        <v>0</v>
      </c>
      <c r="Z205" s="240">
        <f t="shared" si="71"/>
        <v>0</v>
      </c>
      <c r="AA205" s="240">
        <f t="shared" si="71"/>
        <v>0</v>
      </c>
      <c r="AB205" s="240">
        <f t="shared" si="71"/>
        <v>0</v>
      </c>
      <c r="AC205" s="240">
        <f t="shared" si="71"/>
        <v>0</v>
      </c>
      <c r="AD205" s="240">
        <f t="shared" si="71"/>
        <v>0</v>
      </c>
      <c r="AE205" s="240">
        <f t="shared" si="71"/>
        <v>0</v>
      </c>
      <c r="AF205" s="240">
        <f t="shared" si="71"/>
        <v>0</v>
      </c>
      <c r="AG205" s="240">
        <f t="shared" si="71"/>
        <v>0</v>
      </c>
      <c r="AH205" s="240">
        <f t="shared" si="71"/>
        <v>0</v>
      </c>
      <c r="AI205" s="240">
        <f t="shared" si="71"/>
        <v>0</v>
      </c>
      <c r="AJ205" s="240">
        <f t="shared" si="71"/>
        <v>0</v>
      </c>
      <c r="AK205" s="240">
        <f t="shared" si="71"/>
        <v>0</v>
      </c>
      <c r="AL205" s="241">
        <f t="shared" si="71"/>
        <v>0</v>
      </c>
      <c r="AM205" s="358"/>
    </row>
    <row r="206" spans="2:39" ht="15" hidden="1" outlineLevel="2">
      <c r="B206" s="413"/>
      <c r="C206" s="414"/>
      <c r="D206" s="419" t="s">
        <v>602</v>
      </c>
      <c r="E206" s="420" t="s">
        <v>600</v>
      </c>
      <c r="F206" s="421">
        <f t="shared" ref="F206:AL206" si="72">+IF(F10=0,0,IF(E232&lt;&gt;0,F232/E232-1,0))</f>
        <v>0.16413776243559997</v>
      </c>
      <c r="G206" s="421">
        <f t="shared" si="72"/>
        <v>8.8087993730597614E-2</v>
      </c>
      <c r="H206" s="422">
        <f t="shared" si="72"/>
        <v>-7.0049422551448082E-2</v>
      </c>
      <c r="I206" s="239">
        <f t="shared" si="72"/>
        <v>7.9137167947318954E-2</v>
      </c>
      <c r="J206" s="240">
        <f t="shared" si="72"/>
        <v>2.4918806093579882E-2</v>
      </c>
      <c r="K206" s="240">
        <f t="shared" si="72"/>
        <v>4.8727514603893018E-2</v>
      </c>
      <c r="L206" s="240">
        <f t="shared" si="72"/>
        <v>3.9776713835941502E-2</v>
      </c>
      <c r="M206" s="240">
        <f t="shared" si="72"/>
        <v>4.4214880868791884E-2</v>
      </c>
      <c r="N206" s="240">
        <f t="shared" si="72"/>
        <v>4.9527299691901838E-2</v>
      </c>
      <c r="O206" s="240">
        <f t="shared" si="72"/>
        <v>4.1601715615392498E-2</v>
      </c>
      <c r="P206" s="240">
        <f t="shared" si="72"/>
        <v>4.1539389967150342E-2</v>
      </c>
      <c r="Q206" s="240">
        <f t="shared" si="72"/>
        <v>3.7371759128705939E-2</v>
      </c>
      <c r="R206" s="240">
        <f t="shared" si="72"/>
        <v>3.9962596852940901E-2</v>
      </c>
      <c r="S206" s="240">
        <f t="shared" si="72"/>
        <v>0</v>
      </c>
      <c r="T206" s="240">
        <f t="shared" si="72"/>
        <v>0</v>
      </c>
      <c r="U206" s="240">
        <f t="shared" si="72"/>
        <v>0</v>
      </c>
      <c r="V206" s="240">
        <f t="shared" si="72"/>
        <v>0</v>
      </c>
      <c r="W206" s="240">
        <f t="shared" si="72"/>
        <v>0</v>
      </c>
      <c r="X206" s="240">
        <f t="shared" si="72"/>
        <v>0</v>
      </c>
      <c r="Y206" s="240">
        <f t="shared" si="72"/>
        <v>0</v>
      </c>
      <c r="Z206" s="240">
        <f t="shared" si="72"/>
        <v>0</v>
      </c>
      <c r="AA206" s="240">
        <f t="shared" si="72"/>
        <v>0</v>
      </c>
      <c r="AB206" s="240">
        <f t="shared" si="72"/>
        <v>0</v>
      </c>
      <c r="AC206" s="240">
        <f t="shared" si="72"/>
        <v>0</v>
      </c>
      <c r="AD206" s="240">
        <f t="shared" si="72"/>
        <v>0</v>
      </c>
      <c r="AE206" s="240">
        <f t="shared" si="72"/>
        <v>0</v>
      </c>
      <c r="AF206" s="240">
        <f t="shared" si="72"/>
        <v>0</v>
      </c>
      <c r="AG206" s="240">
        <f t="shared" si="72"/>
        <v>0</v>
      </c>
      <c r="AH206" s="240">
        <f t="shared" si="72"/>
        <v>0</v>
      </c>
      <c r="AI206" s="240">
        <f t="shared" si="72"/>
        <v>0</v>
      </c>
      <c r="AJ206" s="240">
        <f t="shared" si="72"/>
        <v>0</v>
      </c>
      <c r="AK206" s="240">
        <f t="shared" si="72"/>
        <v>0</v>
      </c>
      <c r="AL206" s="241">
        <f t="shared" si="72"/>
        <v>0</v>
      </c>
      <c r="AM206" s="358"/>
    </row>
    <row r="207" spans="2:39" ht="15" hidden="1" outlineLevel="2">
      <c r="B207" s="413"/>
      <c r="C207" s="414"/>
      <c r="D207" s="419" t="s">
        <v>603</v>
      </c>
      <c r="E207" s="420" t="s">
        <v>600</v>
      </c>
      <c r="F207" s="421">
        <f t="shared" ref="F207:AL207" si="73">+IF(F10=0,0,IF(E233&lt;&gt;0,F233/E233-1,0))</f>
        <v>-0.65155643953033238</v>
      </c>
      <c r="G207" s="421">
        <f t="shared" si="73"/>
        <v>4.9617004521872143</v>
      </c>
      <c r="H207" s="422">
        <f t="shared" si="73"/>
        <v>-0.65909543605912124</v>
      </c>
      <c r="I207" s="239">
        <f t="shared" si="73"/>
        <v>0.72043317448435684</v>
      </c>
      <c r="J207" s="240">
        <f t="shared" si="73"/>
        <v>-0.16892647851557263</v>
      </c>
      <c r="K207" s="240">
        <f t="shared" si="73"/>
        <v>-0.19548419965609487</v>
      </c>
      <c r="L207" s="240">
        <f t="shared" si="73"/>
        <v>-0.11581291759465484</v>
      </c>
      <c r="M207" s="240">
        <f t="shared" si="73"/>
        <v>-0.72502099076406379</v>
      </c>
      <c r="N207" s="240">
        <f t="shared" si="73"/>
        <v>-0.79786259541984728</v>
      </c>
      <c r="O207" s="240">
        <f t="shared" si="73"/>
        <v>-0.39577039274924475</v>
      </c>
      <c r="P207" s="240">
        <f t="shared" si="73"/>
        <v>-0.5</v>
      </c>
      <c r="Q207" s="240">
        <f t="shared" si="73"/>
        <v>2.5</v>
      </c>
      <c r="R207" s="240">
        <f t="shared" si="73"/>
        <v>-0.5714285714285714</v>
      </c>
      <c r="S207" s="240">
        <f t="shared" si="73"/>
        <v>0</v>
      </c>
      <c r="T207" s="240">
        <f t="shared" si="73"/>
        <v>0</v>
      </c>
      <c r="U207" s="240">
        <f t="shared" si="73"/>
        <v>0</v>
      </c>
      <c r="V207" s="240">
        <f t="shared" si="73"/>
        <v>0</v>
      </c>
      <c r="W207" s="240">
        <f t="shared" si="73"/>
        <v>0</v>
      </c>
      <c r="X207" s="240">
        <f t="shared" si="73"/>
        <v>0</v>
      </c>
      <c r="Y207" s="240">
        <f t="shared" si="73"/>
        <v>0</v>
      </c>
      <c r="Z207" s="240">
        <f t="shared" si="73"/>
        <v>0</v>
      </c>
      <c r="AA207" s="240">
        <f t="shared" si="73"/>
        <v>0</v>
      </c>
      <c r="AB207" s="240">
        <f t="shared" si="73"/>
        <v>0</v>
      </c>
      <c r="AC207" s="240">
        <f t="shared" si="73"/>
        <v>0</v>
      </c>
      <c r="AD207" s="240">
        <f t="shared" si="73"/>
        <v>0</v>
      </c>
      <c r="AE207" s="240">
        <f t="shared" si="73"/>
        <v>0</v>
      </c>
      <c r="AF207" s="240">
        <f t="shared" si="73"/>
        <v>0</v>
      </c>
      <c r="AG207" s="240">
        <f t="shared" si="73"/>
        <v>0</v>
      </c>
      <c r="AH207" s="240">
        <f t="shared" si="73"/>
        <v>0</v>
      </c>
      <c r="AI207" s="240">
        <f t="shared" si="73"/>
        <v>0</v>
      </c>
      <c r="AJ207" s="240">
        <f t="shared" si="73"/>
        <v>0</v>
      </c>
      <c r="AK207" s="240">
        <f t="shared" si="73"/>
        <v>0</v>
      </c>
      <c r="AL207" s="241">
        <f t="shared" si="73"/>
        <v>0</v>
      </c>
      <c r="AM207" s="358"/>
    </row>
    <row r="208" spans="2:39" ht="24" hidden="1" outlineLevel="2">
      <c r="B208" s="413"/>
      <c r="C208" s="414"/>
      <c r="D208" s="419" t="s">
        <v>604</v>
      </c>
      <c r="E208" s="420" t="s">
        <v>600</v>
      </c>
      <c r="F208" s="421">
        <f t="shared" ref="F208:AL208" si="74">+IF(F10=0,0,IF(E234&lt;&gt;0,F234/E234-1,0))</f>
        <v>10.542979325731178</v>
      </c>
      <c r="G208" s="421">
        <f t="shared" si="74"/>
        <v>3.2844832535790456</v>
      </c>
      <c r="H208" s="422">
        <f t="shared" si="74"/>
        <v>-0.97187797833934997</v>
      </c>
      <c r="I208" s="239">
        <f t="shared" si="74"/>
        <v>6.8621787465659754</v>
      </c>
      <c r="J208" s="240">
        <f t="shared" si="74"/>
        <v>-0.10425374888970163</v>
      </c>
      <c r="K208" s="240">
        <f t="shared" si="74"/>
        <v>8.2760053809893597E-2</v>
      </c>
      <c r="L208" s="240">
        <f t="shared" si="74"/>
        <v>0.14814814814814814</v>
      </c>
      <c r="M208" s="240">
        <f t="shared" si="74"/>
        <v>-0.62609970674486803</v>
      </c>
      <c r="N208" s="240">
        <f t="shared" si="74"/>
        <v>-0.48078431372549024</v>
      </c>
      <c r="O208" s="240">
        <f t="shared" si="74"/>
        <v>-0.39577039274924475</v>
      </c>
      <c r="P208" s="240">
        <f t="shared" si="74"/>
        <v>-0.5</v>
      </c>
      <c r="Q208" s="240">
        <f t="shared" si="74"/>
        <v>2.5</v>
      </c>
      <c r="R208" s="240">
        <f t="shared" si="74"/>
        <v>-0.5714285714285714</v>
      </c>
      <c r="S208" s="240">
        <f t="shared" si="74"/>
        <v>0</v>
      </c>
      <c r="T208" s="240">
        <f t="shared" si="74"/>
        <v>0</v>
      </c>
      <c r="U208" s="240">
        <f t="shared" si="74"/>
        <v>0</v>
      </c>
      <c r="V208" s="240">
        <f t="shared" si="74"/>
        <v>0</v>
      </c>
      <c r="W208" s="240">
        <f t="shared" si="74"/>
        <v>0</v>
      </c>
      <c r="X208" s="240">
        <f t="shared" si="74"/>
        <v>0</v>
      </c>
      <c r="Y208" s="240">
        <f t="shared" si="74"/>
        <v>0</v>
      </c>
      <c r="Z208" s="240">
        <f t="shared" si="74"/>
        <v>0</v>
      </c>
      <c r="AA208" s="240">
        <f t="shared" si="74"/>
        <v>0</v>
      </c>
      <c r="AB208" s="240">
        <f t="shared" si="74"/>
        <v>0</v>
      </c>
      <c r="AC208" s="240">
        <f t="shared" si="74"/>
        <v>0</v>
      </c>
      <c r="AD208" s="240">
        <f t="shared" si="74"/>
        <v>0</v>
      </c>
      <c r="AE208" s="240">
        <f t="shared" si="74"/>
        <v>0</v>
      </c>
      <c r="AF208" s="240">
        <f t="shared" si="74"/>
        <v>0</v>
      </c>
      <c r="AG208" s="240">
        <f t="shared" si="74"/>
        <v>0</v>
      </c>
      <c r="AH208" s="240">
        <f t="shared" si="74"/>
        <v>0</v>
      </c>
      <c r="AI208" s="240">
        <f t="shared" si="74"/>
        <v>0</v>
      </c>
      <c r="AJ208" s="240">
        <f t="shared" si="74"/>
        <v>0</v>
      </c>
      <c r="AK208" s="240">
        <f t="shared" si="74"/>
        <v>0</v>
      </c>
      <c r="AL208" s="241">
        <f t="shared" si="74"/>
        <v>0</v>
      </c>
      <c r="AM208" s="358"/>
    </row>
    <row r="209" spans="2:39" ht="15" hidden="1" outlineLevel="2">
      <c r="B209" s="413"/>
      <c r="C209" s="414"/>
      <c r="D209" s="423" t="s">
        <v>605</v>
      </c>
      <c r="E209" s="424" t="s">
        <v>600</v>
      </c>
      <c r="F209" s="425">
        <f t="shared" ref="F209:AL209" si="75">+IF(F10=0,0,IF(E235&lt;&gt;0,F235/E235-1,0))</f>
        <v>-0.84441431801223288</v>
      </c>
      <c r="G209" s="425">
        <f t="shared" si="75"/>
        <v>7.1054245695383251</v>
      </c>
      <c r="H209" s="426">
        <f t="shared" si="75"/>
        <v>-0.44777340644009422</v>
      </c>
      <c r="I209" s="242">
        <f t="shared" si="75"/>
        <v>0.50912158800340568</v>
      </c>
      <c r="J209" s="243">
        <f t="shared" si="75"/>
        <v>-0.1805188252386154</v>
      </c>
      <c r="K209" s="243">
        <f t="shared" si="75"/>
        <v>-0.25</v>
      </c>
      <c r="L209" s="243">
        <f t="shared" si="75"/>
        <v>-0.19047619047619047</v>
      </c>
      <c r="M209" s="243">
        <f t="shared" si="75"/>
        <v>-0.76470588235294112</v>
      </c>
      <c r="N209" s="243">
        <f t="shared" si="75"/>
        <v>-1</v>
      </c>
      <c r="O209" s="243">
        <f t="shared" si="75"/>
        <v>0</v>
      </c>
      <c r="P209" s="243">
        <f t="shared" si="75"/>
        <v>0</v>
      </c>
      <c r="Q209" s="243">
        <f t="shared" si="75"/>
        <v>0</v>
      </c>
      <c r="R209" s="243">
        <f t="shared" si="75"/>
        <v>0</v>
      </c>
      <c r="S209" s="243">
        <f t="shared" si="75"/>
        <v>0</v>
      </c>
      <c r="T209" s="243">
        <f t="shared" si="75"/>
        <v>0</v>
      </c>
      <c r="U209" s="243">
        <f t="shared" si="75"/>
        <v>0</v>
      </c>
      <c r="V209" s="243">
        <f t="shared" si="75"/>
        <v>0</v>
      </c>
      <c r="W209" s="243">
        <f t="shared" si="75"/>
        <v>0</v>
      </c>
      <c r="X209" s="243">
        <f t="shared" si="75"/>
        <v>0</v>
      </c>
      <c r="Y209" s="243">
        <f t="shared" si="75"/>
        <v>0</v>
      </c>
      <c r="Z209" s="243">
        <f t="shared" si="75"/>
        <v>0</v>
      </c>
      <c r="AA209" s="243">
        <f t="shared" si="75"/>
        <v>0</v>
      </c>
      <c r="AB209" s="243">
        <f t="shared" si="75"/>
        <v>0</v>
      </c>
      <c r="AC209" s="243">
        <f t="shared" si="75"/>
        <v>0</v>
      </c>
      <c r="AD209" s="243">
        <f t="shared" si="75"/>
        <v>0</v>
      </c>
      <c r="AE209" s="243">
        <f t="shared" si="75"/>
        <v>0</v>
      </c>
      <c r="AF209" s="243">
        <f t="shared" si="75"/>
        <v>0</v>
      </c>
      <c r="AG209" s="243">
        <f t="shared" si="75"/>
        <v>0</v>
      </c>
      <c r="AH209" s="243">
        <f t="shared" si="75"/>
        <v>0</v>
      </c>
      <c r="AI209" s="243">
        <f t="shared" si="75"/>
        <v>0</v>
      </c>
      <c r="AJ209" s="243">
        <f t="shared" si="75"/>
        <v>0</v>
      </c>
      <c r="AK209" s="243">
        <f t="shared" si="75"/>
        <v>0</v>
      </c>
      <c r="AL209" s="244">
        <f t="shared" si="75"/>
        <v>0</v>
      </c>
      <c r="AM209" s="358"/>
    </row>
    <row r="210" spans="2:39" hidden="1" outlineLevel="2">
      <c r="B210" s="406"/>
      <c r="C210" s="407"/>
      <c r="D210" s="408" t="s">
        <v>230</v>
      </c>
      <c r="E210" s="409" t="s">
        <v>600</v>
      </c>
      <c r="F210" s="410">
        <f t="shared" ref="F210:AL210" si="76">+IF(F10=0,0,IF(E236&lt;&gt;0,F236/E236-1,0))</f>
        <v>0.30162298725766168</v>
      </c>
      <c r="G210" s="410">
        <f t="shared" si="76"/>
        <v>-3.0589327161878566E-2</v>
      </c>
      <c r="H210" s="411">
        <f t="shared" si="76"/>
        <v>-0.16444531256376682</v>
      </c>
      <c r="I210" s="236">
        <f t="shared" si="76"/>
        <v>7.3672378391140825E-3</v>
      </c>
      <c r="J210" s="237">
        <f t="shared" si="76"/>
        <v>-6.0843651465562587E-2</v>
      </c>
      <c r="K210" s="237">
        <f t="shared" si="76"/>
        <v>2.7809510322213793E-2</v>
      </c>
      <c r="L210" s="237">
        <f t="shared" si="76"/>
        <v>4.443530604200796E-2</v>
      </c>
      <c r="M210" s="237">
        <f t="shared" si="76"/>
        <v>2.6959772778556879E-2</v>
      </c>
      <c r="N210" s="237">
        <f t="shared" si="76"/>
        <v>5.2507917613005217E-2</v>
      </c>
      <c r="O210" s="237">
        <f t="shared" si="76"/>
        <v>3.1479438871957477E-2</v>
      </c>
      <c r="P210" s="237">
        <f t="shared" si="76"/>
        <v>0.14772381246626698</v>
      </c>
      <c r="Q210" s="237">
        <f t="shared" si="76"/>
        <v>0.12663531204627221</v>
      </c>
      <c r="R210" s="237">
        <f t="shared" si="76"/>
        <v>5.5496111932250791E-2</v>
      </c>
      <c r="S210" s="237">
        <f t="shared" si="76"/>
        <v>0</v>
      </c>
      <c r="T210" s="237">
        <f t="shared" si="76"/>
        <v>0</v>
      </c>
      <c r="U210" s="237">
        <f t="shared" si="76"/>
        <v>0</v>
      </c>
      <c r="V210" s="237">
        <f t="shared" si="76"/>
        <v>0</v>
      </c>
      <c r="W210" s="237">
        <f t="shared" si="76"/>
        <v>0</v>
      </c>
      <c r="X210" s="237">
        <f t="shared" si="76"/>
        <v>0</v>
      </c>
      <c r="Y210" s="237">
        <f t="shared" si="76"/>
        <v>0</v>
      </c>
      <c r="Z210" s="237">
        <f t="shared" si="76"/>
        <v>0</v>
      </c>
      <c r="AA210" s="237">
        <f t="shared" si="76"/>
        <v>0</v>
      </c>
      <c r="AB210" s="237">
        <f t="shared" si="76"/>
        <v>0</v>
      </c>
      <c r="AC210" s="237">
        <f t="shared" si="76"/>
        <v>0</v>
      </c>
      <c r="AD210" s="237">
        <f t="shared" si="76"/>
        <v>0</v>
      </c>
      <c r="AE210" s="237">
        <f t="shared" si="76"/>
        <v>0</v>
      </c>
      <c r="AF210" s="237">
        <f t="shared" si="76"/>
        <v>0</v>
      </c>
      <c r="AG210" s="237">
        <f t="shared" si="76"/>
        <v>0</v>
      </c>
      <c r="AH210" s="237">
        <f t="shared" si="76"/>
        <v>0</v>
      </c>
      <c r="AI210" s="237">
        <f t="shared" si="76"/>
        <v>0</v>
      </c>
      <c r="AJ210" s="237">
        <f t="shared" si="76"/>
        <v>0</v>
      </c>
      <c r="AK210" s="237">
        <f t="shared" si="76"/>
        <v>0</v>
      </c>
      <c r="AL210" s="238">
        <f t="shared" si="76"/>
        <v>0</v>
      </c>
      <c r="AM210" s="412"/>
    </row>
    <row r="211" spans="2:39" ht="24" hidden="1" outlineLevel="2">
      <c r="B211" s="413"/>
      <c r="C211" s="414"/>
      <c r="D211" s="427" t="s">
        <v>606</v>
      </c>
      <c r="E211" s="420" t="s">
        <v>600</v>
      </c>
      <c r="F211" s="421">
        <f t="shared" ref="F211:AL211" si="77">+IF(F10=0,0,IF(E237&lt;&gt;0,F237/E237-1,0))</f>
        <v>-0.10610250115341913</v>
      </c>
      <c r="G211" s="421">
        <f t="shared" si="77"/>
        <v>0.27393838825864458</v>
      </c>
      <c r="H211" s="422">
        <f t="shared" si="77"/>
        <v>-0.16790215215341753</v>
      </c>
      <c r="I211" s="239">
        <f t="shared" si="77"/>
        <v>3.6929255595434585E-2</v>
      </c>
      <c r="J211" s="240">
        <f t="shared" si="77"/>
        <v>-2.7747622795782023E-2</v>
      </c>
      <c r="K211" s="240">
        <f t="shared" si="77"/>
        <v>4.8814735957672717E-2</v>
      </c>
      <c r="L211" s="240">
        <f t="shared" si="77"/>
        <v>1.5074226964353121E-2</v>
      </c>
      <c r="M211" s="240">
        <f t="shared" si="77"/>
        <v>-1.2666449789491274E-2</v>
      </c>
      <c r="N211" s="240">
        <f t="shared" si="77"/>
        <v>2.8218969607068933E-2</v>
      </c>
      <c r="O211" s="240">
        <f t="shared" si="77"/>
        <v>4.0326557750896885E-2</v>
      </c>
      <c r="P211" s="240">
        <f t="shared" si="77"/>
        <v>3.4257069880966551E-2</v>
      </c>
      <c r="Q211" s="240">
        <f t="shared" si="77"/>
        <v>-3.0440507681698259E-3</v>
      </c>
      <c r="R211" s="240">
        <f t="shared" si="77"/>
        <v>4.6135502552257623E-2</v>
      </c>
      <c r="S211" s="240">
        <f t="shared" si="77"/>
        <v>0</v>
      </c>
      <c r="T211" s="240">
        <f t="shared" si="77"/>
        <v>0</v>
      </c>
      <c r="U211" s="240">
        <f t="shared" si="77"/>
        <v>0</v>
      </c>
      <c r="V211" s="240">
        <f t="shared" si="77"/>
        <v>0</v>
      </c>
      <c r="W211" s="240">
        <f t="shared" si="77"/>
        <v>0</v>
      </c>
      <c r="X211" s="240">
        <f t="shared" si="77"/>
        <v>0</v>
      </c>
      <c r="Y211" s="240">
        <f t="shared" si="77"/>
        <v>0</v>
      </c>
      <c r="Z211" s="240">
        <f t="shared" si="77"/>
        <v>0</v>
      </c>
      <c r="AA211" s="240">
        <f t="shared" si="77"/>
        <v>0</v>
      </c>
      <c r="AB211" s="240">
        <f t="shared" si="77"/>
        <v>0</v>
      </c>
      <c r="AC211" s="240">
        <f t="shared" si="77"/>
        <v>0</v>
      </c>
      <c r="AD211" s="240">
        <f t="shared" si="77"/>
        <v>0</v>
      </c>
      <c r="AE211" s="240">
        <f t="shared" si="77"/>
        <v>0</v>
      </c>
      <c r="AF211" s="240">
        <f t="shared" si="77"/>
        <v>0</v>
      </c>
      <c r="AG211" s="240">
        <f t="shared" si="77"/>
        <v>0</v>
      </c>
      <c r="AH211" s="240">
        <f t="shared" si="77"/>
        <v>0</v>
      </c>
      <c r="AI211" s="240">
        <f t="shared" si="77"/>
        <v>0</v>
      </c>
      <c r="AJ211" s="240">
        <f t="shared" si="77"/>
        <v>0</v>
      </c>
      <c r="AK211" s="240">
        <f t="shared" si="77"/>
        <v>0</v>
      </c>
      <c r="AL211" s="241">
        <f t="shared" si="77"/>
        <v>0</v>
      </c>
      <c r="AM211" s="358"/>
    </row>
    <row r="212" spans="2:39" hidden="1" outlineLevel="2">
      <c r="B212" s="406"/>
      <c r="C212" s="407"/>
      <c r="D212" s="428" t="s">
        <v>607</v>
      </c>
      <c r="E212" s="429" t="s">
        <v>600</v>
      </c>
      <c r="F212" s="430">
        <f t="shared" ref="F212:AL212" si="78">+IF(F10=0,0,IF(E238&lt;&gt;0,F238/E238-1,0))</f>
        <v>0.18218539251467902</v>
      </c>
      <c r="G212" s="430">
        <f t="shared" si="78"/>
        <v>0.15278610494308342</v>
      </c>
      <c r="H212" s="431">
        <f t="shared" si="78"/>
        <v>-0.11381385258528087</v>
      </c>
      <c r="I212" s="245">
        <f t="shared" si="78"/>
        <v>7.6098161017480903E-2</v>
      </c>
      <c r="J212" s="246">
        <f t="shared" si="78"/>
        <v>-3.065765582983504E-2</v>
      </c>
      <c r="K212" s="246">
        <f t="shared" si="78"/>
        <v>2.1266710667418032E-2</v>
      </c>
      <c r="L212" s="246">
        <f t="shared" si="78"/>
        <v>1.7089027229758358E-2</v>
      </c>
      <c r="M212" s="246">
        <f t="shared" si="78"/>
        <v>2.4207916394928697E-2</v>
      </c>
      <c r="N212" s="246">
        <f t="shared" si="78"/>
        <v>2.1024997892382213E-2</v>
      </c>
      <c r="O212" s="246">
        <f t="shared" si="78"/>
        <v>2.0512731250887262E-2</v>
      </c>
      <c r="P212" s="246">
        <f t="shared" si="78"/>
        <v>2.0983453373591088E-2</v>
      </c>
      <c r="Q212" s="246">
        <f t="shared" si="78"/>
        <v>1.5676733539197185E-2</v>
      </c>
      <c r="R212" s="246">
        <f t="shared" si="78"/>
        <v>2.6259876757964484E-2</v>
      </c>
      <c r="S212" s="246">
        <f t="shared" si="78"/>
        <v>0</v>
      </c>
      <c r="T212" s="246">
        <f t="shared" si="78"/>
        <v>0</v>
      </c>
      <c r="U212" s="246">
        <f t="shared" si="78"/>
        <v>0</v>
      </c>
      <c r="V212" s="246">
        <f t="shared" si="78"/>
        <v>0</v>
      </c>
      <c r="W212" s="246">
        <f t="shared" si="78"/>
        <v>0</v>
      </c>
      <c r="X212" s="246">
        <f t="shared" si="78"/>
        <v>0</v>
      </c>
      <c r="Y212" s="246">
        <f t="shared" si="78"/>
        <v>0</v>
      </c>
      <c r="Z212" s="246">
        <f t="shared" si="78"/>
        <v>0</v>
      </c>
      <c r="AA212" s="246">
        <f t="shared" si="78"/>
        <v>0</v>
      </c>
      <c r="AB212" s="246">
        <f t="shared" si="78"/>
        <v>0</v>
      </c>
      <c r="AC212" s="246">
        <f t="shared" si="78"/>
        <v>0</v>
      </c>
      <c r="AD212" s="246">
        <f t="shared" si="78"/>
        <v>0</v>
      </c>
      <c r="AE212" s="246">
        <f t="shared" si="78"/>
        <v>0</v>
      </c>
      <c r="AF212" s="246">
        <f t="shared" si="78"/>
        <v>0</v>
      </c>
      <c r="AG212" s="246">
        <f t="shared" si="78"/>
        <v>0</v>
      </c>
      <c r="AH212" s="246">
        <f t="shared" si="78"/>
        <v>0</v>
      </c>
      <c r="AI212" s="246">
        <f t="shared" si="78"/>
        <v>0</v>
      </c>
      <c r="AJ212" s="246">
        <f t="shared" si="78"/>
        <v>0</v>
      </c>
      <c r="AK212" s="246">
        <f t="shared" si="78"/>
        <v>0</v>
      </c>
      <c r="AL212" s="247">
        <f t="shared" si="78"/>
        <v>0</v>
      </c>
      <c r="AM212" s="412"/>
    </row>
    <row r="213" spans="2:39" ht="24" hidden="1" outlineLevel="2">
      <c r="B213" s="413"/>
      <c r="C213" s="414"/>
      <c r="D213" s="419" t="s">
        <v>608</v>
      </c>
      <c r="E213" s="420" t="s">
        <v>600</v>
      </c>
      <c r="F213" s="421">
        <f t="shared" ref="F213:AL213" si="79">+IF(F10=0,0,IF(E239&lt;&gt;0,F239/E239-1,0))</f>
        <v>0.12402664047368384</v>
      </c>
      <c r="G213" s="421">
        <f t="shared" si="79"/>
        <v>0.17013112122150065</v>
      </c>
      <c r="H213" s="422">
        <f t="shared" si="79"/>
        <v>-0.11785833327304074</v>
      </c>
      <c r="I213" s="239">
        <f t="shared" si="79"/>
        <v>7.542371560046357E-2</v>
      </c>
      <c r="J213" s="240">
        <f t="shared" si="79"/>
        <v>-7.7268674666528536E-3</v>
      </c>
      <c r="K213" s="240">
        <f t="shared" si="79"/>
        <v>3.2426975079171028E-2</v>
      </c>
      <c r="L213" s="240">
        <f t="shared" si="79"/>
        <v>1.7199871995577043E-2</v>
      </c>
      <c r="M213" s="240">
        <f t="shared" si="79"/>
        <v>2.7260751846992282E-2</v>
      </c>
      <c r="N213" s="240">
        <f t="shared" si="79"/>
        <v>2.1096185661331646E-2</v>
      </c>
      <c r="O213" s="240">
        <f t="shared" si="79"/>
        <v>2.3896659878077209E-2</v>
      </c>
      <c r="P213" s="240">
        <f t="shared" si="79"/>
        <v>2.0983453373591088E-2</v>
      </c>
      <c r="Q213" s="240">
        <f t="shared" si="79"/>
        <v>1.5676733539197185E-2</v>
      </c>
      <c r="R213" s="240">
        <f t="shared" si="79"/>
        <v>2.6259876757964484E-2</v>
      </c>
      <c r="S213" s="240">
        <f t="shared" si="79"/>
        <v>0</v>
      </c>
      <c r="T213" s="240">
        <f t="shared" si="79"/>
        <v>0</v>
      </c>
      <c r="U213" s="240">
        <f t="shared" si="79"/>
        <v>0</v>
      </c>
      <c r="V213" s="240">
        <f t="shared" si="79"/>
        <v>0</v>
      </c>
      <c r="W213" s="240">
        <f t="shared" si="79"/>
        <v>0</v>
      </c>
      <c r="X213" s="240">
        <f t="shared" si="79"/>
        <v>0</v>
      </c>
      <c r="Y213" s="240">
        <f t="shared" si="79"/>
        <v>0</v>
      </c>
      <c r="Z213" s="240">
        <f t="shared" si="79"/>
        <v>0</v>
      </c>
      <c r="AA213" s="240">
        <f t="shared" si="79"/>
        <v>0</v>
      </c>
      <c r="AB213" s="240">
        <f t="shared" si="79"/>
        <v>0</v>
      </c>
      <c r="AC213" s="240">
        <f t="shared" si="79"/>
        <v>0</v>
      </c>
      <c r="AD213" s="240">
        <f t="shared" si="79"/>
        <v>0</v>
      </c>
      <c r="AE213" s="240">
        <f t="shared" si="79"/>
        <v>0</v>
      </c>
      <c r="AF213" s="240">
        <f t="shared" si="79"/>
        <v>0</v>
      </c>
      <c r="AG213" s="240">
        <f t="shared" si="79"/>
        <v>0</v>
      </c>
      <c r="AH213" s="240">
        <f t="shared" si="79"/>
        <v>0</v>
      </c>
      <c r="AI213" s="240">
        <f t="shared" si="79"/>
        <v>0</v>
      </c>
      <c r="AJ213" s="240">
        <f t="shared" si="79"/>
        <v>0</v>
      </c>
      <c r="AK213" s="240">
        <f t="shared" si="79"/>
        <v>0</v>
      </c>
      <c r="AL213" s="241">
        <f t="shared" si="79"/>
        <v>0</v>
      </c>
      <c r="AM213" s="358"/>
    </row>
    <row r="214" spans="2:39" ht="15" hidden="1" outlineLevel="2">
      <c r="B214" s="413"/>
      <c r="C214" s="414"/>
      <c r="D214" s="419" t="s">
        <v>609</v>
      </c>
      <c r="E214" s="420" t="s">
        <v>600</v>
      </c>
      <c r="F214" s="421">
        <f t="shared" ref="F214:AL214" si="80">+IF(F10=0,0,IF(E240&lt;&gt;0,F240/E240-1,0))</f>
        <v>0.10624900546009441</v>
      </c>
      <c r="G214" s="421">
        <f t="shared" si="80"/>
        <v>6.2284807070449366E-2</v>
      </c>
      <c r="H214" s="422">
        <f t="shared" si="80"/>
        <v>-4.2975623834843324E-2</v>
      </c>
      <c r="I214" s="239">
        <f t="shared" si="80"/>
        <v>1.0900445788511792E-2</v>
      </c>
      <c r="J214" s="240">
        <f t="shared" si="80"/>
        <v>-2.6746349489741972E-2</v>
      </c>
      <c r="K214" s="240">
        <f t="shared" si="80"/>
        <v>1.1534715960324515E-2</v>
      </c>
      <c r="L214" s="240">
        <f t="shared" si="80"/>
        <v>1.0201307087990497E-2</v>
      </c>
      <c r="M214" s="240">
        <f t="shared" si="80"/>
        <v>-1</v>
      </c>
      <c r="N214" s="240">
        <f t="shared" si="80"/>
        <v>0</v>
      </c>
      <c r="O214" s="240">
        <f t="shared" si="80"/>
        <v>0</v>
      </c>
      <c r="P214" s="240">
        <f t="shared" si="80"/>
        <v>0</v>
      </c>
      <c r="Q214" s="240">
        <f t="shared" si="80"/>
        <v>0</v>
      </c>
      <c r="R214" s="240">
        <f t="shared" si="80"/>
        <v>0</v>
      </c>
      <c r="S214" s="240">
        <f t="shared" si="80"/>
        <v>0</v>
      </c>
      <c r="T214" s="240">
        <f t="shared" si="80"/>
        <v>0</v>
      </c>
      <c r="U214" s="240">
        <f t="shared" si="80"/>
        <v>0</v>
      </c>
      <c r="V214" s="240">
        <f t="shared" si="80"/>
        <v>0</v>
      </c>
      <c r="W214" s="240">
        <f t="shared" si="80"/>
        <v>0</v>
      </c>
      <c r="X214" s="240">
        <f t="shared" si="80"/>
        <v>0</v>
      </c>
      <c r="Y214" s="240">
        <f t="shared" si="80"/>
        <v>0</v>
      </c>
      <c r="Z214" s="240">
        <f t="shared" si="80"/>
        <v>0</v>
      </c>
      <c r="AA214" s="240">
        <f t="shared" si="80"/>
        <v>0</v>
      </c>
      <c r="AB214" s="240">
        <f t="shared" si="80"/>
        <v>0</v>
      </c>
      <c r="AC214" s="240">
        <f t="shared" si="80"/>
        <v>0</v>
      </c>
      <c r="AD214" s="240">
        <f t="shared" si="80"/>
        <v>0</v>
      </c>
      <c r="AE214" s="240">
        <f t="shared" si="80"/>
        <v>0</v>
      </c>
      <c r="AF214" s="240">
        <f t="shared" si="80"/>
        <v>0</v>
      </c>
      <c r="AG214" s="240">
        <f t="shared" si="80"/>
        <v>0</v>
      </c>
      <c r="AH214" s="240">
        <f t="shared" si="80"/>
        <v>0</v>
      </c>
      <c r="AI214" s="240">
        <f t="shared" si="80"/>
        <v>0</v>
      </c>
      <c r="AJ214" s="240">
        <f t="shared" si="80"/>
        <v>0</v>
      </c>
      <c r="AK214" s="240">
        <f t="shared" si="80"/>
        <v>0</v>
      </c>
      <c r="AL214" s="241">
        <f t="shared" si="80"/>
        <v>0</v>
      </c>
      <c r="AM214" s="358"/>
    </row>
    <row r="215" spans="2:39" ht="36" hidden="1" outlineLevel="2">
      <c r="B215" s="413"/>
      <c r="C215" s="414"/>
      <c r="D215" s="423" t="s">
        <v>610</v>
      </c>
      <c r="E215" s="432" t="s">
        <v>600</v>
      </c>
      <c r="F215" s="433">
        <f t="shared" ref="F215:AL215" si="81">+IF(F10=0,0,IF(E241&lt;&gt;0,F241/E241-1,0))</f>
        <v>-0.20262333440815639</v>
      </c>
      <c r="G215" s="433">
        <f t="shared" si="81"/>
        <v>0.31915944005967578</v>
      </c>
      <c r="H215" s="434">
        <f t="shared" si="81"/>
        <v>-0.19027938083695328</v>
      </c>
      <c r="I215" s="248">
        <f t="shared" si="81"/>
        <v>0.18430519441890225</v>
      </c>
      <c r="J215" s="249">
        <f t="shared" si="81"/>
        <v>-3.8128381749505724E-2</v>
      </c>
      <c r="K215" s="249">
        <f t="shared" si="81"/>
        <v>5.5406691735107483E-2</v>
      </c>
      <c r="L215" s="249">
        <f t="shared" si="81"/>
        <v>4.4551555644546603E-2</v>
      </c>
      <c r="M215" s="249">
        <f t="shared" si="81"/>
        <v>1.4338798870880618</v>
      </c>
      <c r="N215" s="249">
        <f t="shared" si="81"/>
        <v>2.8688959921572721E-2</v>
      </c>
      <c r="O215" s="249">
        <f t="shared" si="81"/>
        <v>2.7153623608885846E-2</v>
      </c>
      <c r="P215" s="249">
        <f t="shared" si="81"/>
        <v>2.7031994192107334E-2</v>
      </c>
      <c r="Q215" s="249">
        <f t="shared" si="81"/>
        <v>1.8248271413665806E-2</v>
      </c>
      <c r="R215" s="249">
        <f t="shared" si="81"/>
        <v>2.688381348318214E-2</v>
      </c>
      <c r="S215" s="249">
        <f t="shared" si="81"/>
        <v>0</v>
      </c>
      <c r="T215" s="249">
        <f t="shared" si="81"/>
        <v>0</v>
      </c>
      <c r="U215" s="249">
        <f t="shared" si="81"/>
        <v>0</v>
      </c>
      <c r="V215" s="249">
        <f t="shared" si="81"/>
        <v>0</v>
      </c>
      <c r="W215" s="249">
        <f t="shared" si="81"/>
        <v>0</v>
      </c>
      <c r="X215" s="249">
        <f t="shared" si="81"/>
        <v>0</v>
      </c>
      <c r="Y215" s="249">
        <f t="shared" si="81"/>
        <v>0</v>
      </c>
      <c r="Z215" s="249">
        <f t="shared" si="81"/>
        <v>0</v>
      </c>
      <c r="AA215" s="249">
        <f t="shared" si="81"/>
        <v>0</v>
      </c>
      <c r="AB215" s="249">
        <f t="shared" si="81"/>
        <v>0</v>
      </c>
      <c r="AC215" s="249">
        <f t="shared" si="81"/>
        <v>0</v>
      </c>
      <c r="AD215" s="249">
        <f t="shared" si="81"/>
        <v>0</v>
      </c>
      <c r="AE215" s="249">
        <f t="shared" si="81"/>
        <v>0</v>
      </c>
      <c r="AF215" s="249">
        <f t="shared" si="81"/>
        <v>0</v>
      </c>
      <c r="AG215" s="249">
        <f t="shared" si="81"/>
        <v>0</v>
      </c>
      <c r="AH215" s="249">
        <f t="shared" si="81"/>
        <v>0</v>
      </c>
      <c r="AI215" s="249">
        <f t="shared" si="81"/>
        <v>0</v>
      </c>
      <c r="AJ215" s="249">
        <f t="shared" si="81"/>
        <v>0</v>
      </c>
      <c r="AK215" s="249">
        <f t="shared" si="81"/>
        <v>0</v>
      </c>
      <c r="AL215" s="250">
        <f t="shared" si="81"/>
        <v>0</v>
      </c>
      <c r="AM215" s="358"/>
    </row>
    <row r="216" spans="2:39" ht="228" hidden="1" outlineLevel="1">
      <c r="B216" s="413"/>
      <c r="C216" s="414"/>
      <c r="D216" s="388" t="s">
        <v>611</v>
      </c>
      <c r="E216" s="435"/>
      <c r="F216" s="435"/>
      <c r="G216" s="436" t="s">
        <v>612</v>
      </c>
      <c r="H216" s="436" t="s">
        <v>613</v>
      </c>
      <c r="I216" s="437"/>
      <c r="J216" s="437"/>
      <c r="K216" s="437"/>
      <c r="L216" s="437"/>
      <c r="M216" s="437"/>
      <c r="N216" s="437"/>
      <c r="O216" s="437"/>
      <c r="P216" s="437"/>
      <c r="Q216" s="437"/>
      <c r="R216" s="437"/>
      <c r="S216" s="437"/>
      <c r="T216" s="437"/>
      <c r="U216" s="437"/>
      <c r="V216" s="437"/>
      <c r="W216" s="437"/>
      <c r="X216" s="437"/>
      <c r="Y216" s="437"/>
      <c r="Z216" s="437"/>
      <c r="AA216" s="437"/>
      <c r="AB216" s="437"/>
      <c r="AC216" s="437"/>
      <c r="AD216" s="437"/>
      <c r="AE216" s="437"/>
      <c r="AF216" s="437"/>
      <c r="AG216" s="437"/>
      <c r="AH216" s="437"/>
      <c r="AI216" s="437"/>
      <c r="AJ216" s="437"/>
      <c r="AK216" s="437"/>
      <c r="AL216" s="437"/>
      <c r="AM216" s="358"/>
    </row>
    <row r="217" spans="2:39" hidden="1" outlineLevel="2">
      <c r="B217" s="406"/>
      <c r="C217" s="407"/>
      <c r="D217" s="408" t="s">
        <v>205</v>
      </c>
      <c r="E217" s="438" t="s">
        <v>600</v>
      </c>
      <c r="F217" s="439">
        <f t="shared" ref="F217:AL222" si="82">+IF(F$230=0,"",F230-E230)</f>
        <v>1510414.0799999982</v>
      </c>
      <c r="G217" s="439">
        <f t="shared" si="82"/>
        <v>3893878.5199999996</v>
      </c>
      <c r="H217" s="440">
        <f t="shared" si="82"/>
        <v>-3954150.4799999967</v>
      </c>
      <c r="I217" s="441">
        <f t="shared" si="82"/>
        <v>1649532.9699999988</v>
      </c>
      <c r="J217" s="442">
        <f t="shared" si="82"/>
        <v>-1115040.6400000006</v>
      </c>
      <c r="K217" s="442">
        <f t="shared" si="82"/>
        <v>521563</v>
      </c>
      <c r="L217" s="442">
        <f t="shared" si="82"/>
        <v>856553</v>
      </c>
      <c r="M217" s="442">
        <f t="shared" si="82"/>
        <v>542780</v>
      </c>
      <c r="N217" s="442">
        <f t="shared" si="82"/>
        <v>1085640</v>
      </c>
      <c r="O217" s="442">
        <f t="shared" si="82"/>
        <v>645036</v>
      </c>
      <c r="P217" s="442">
        <f t="shared" si="82"/>
        <v>2412476</v>
      </c>
      <c r="Q217" s="442">
        <f t="shared" si="82"/>
        <v>2611251</v>
      </c>
      <c r="R217" s="442">
        <f t="shared" si="82"/>
        <v>1510840.4200000018</v>
      </c>
      <c r="S217" s="442" t="str">
        <f t="shared" si="82"/>
        <v/>
      </c>
      <c r="T217" s="442" t="str">
        <f t="shared" si="82"/>
        <v/>
      </c>
      <c r="U217" s="442" t="str">
        <f t="shared" si="82"/>
        <v/>
      </c>
      <c r="V217" s="442" t="str">
        <f t="shared" si="82"/>
        <v/>
      </c>
      <c r="W217" s="442" t="str">
        <f t="shared" si="82"/>
        <v/>
      </c>
      <c r="X217" s="442" t="str">
        <f t="shared" si="82"/>
        <v/>
      </c>
      <c r="Y217" s="442" t="str">
        <f t="shared" si="82"/>
        <v/>
      </c>
      <c r="Z217" s="442" t="str">
        <f t="shared" si="82"/>
        <v/>
      </c>
      <c r="AA217" s="442" t="str">
        <f t="shared" si="82"/>
        <v/>
      </c>
      <c r="AB217" s="442" t="str">
        <f t="shared" si="82"/>
        <v/>
      </c>
      <c r="AC217" s="442" t="str">
        <f t="shared" si="82"/>
        <v/>
      </c>
      <c r="AD217" s="442" t="str">
        <f t="shared" si="82"/>
        <v/>
      </c>
      <c r="AE217" s="442" t="str">
        <f t="shared" si="82"/>
        <v/>
      </c>
      <c r="AF217" s="442" t="str">
        <f t="shared" si="82"/>
        <v/>
      </c>
      <c r="AG217" s="442" t="str">
        <f t="shared" si="82"/>
        <v/>
      </c>
      <c r="AH217" s="442" t="str">
        <f t="shared" si="82"/>
        <v/>
      </c>
      <c r="AI217" s="442" t="str">
        <f t="shared" si="82"/>
        <v/>
      </c>
      <c r="AJ217" s="442" t="str">
        <f t="shared" si="82"/>
        <v/>
      </c>
      <c r="AK217" s="442" t="str">
        <f t="shared" si="82"/>
        <v/>
      </c>
      <c r="AL217" s="443" t="str">
        <f t="shared" si="82"/>
        <v/>
      </c>
      <c r="AM217" s="412"/>
    </row>
    <row r="218" spans="2:39" ht="15" hidden="1" outlineLevel="2">
      <c r="B218" s="413"/>
      <c r="C218" s="414"/>
      <c r="D218" s="415" t="s">
        <v>601</v>
      </c>
      <c r="E218" s="444" t="s">
        <v>600</v>
      </c>
      <c r="F218" s="445">
        <f t="shared" si="82"/>
        <v>1292046.6600000001</v>
      </c>
      <c r="G218" s="445">
        <f t="shared" si="82"/>
        <v>4339123.3999999985</v>
      </c>
      <c r="H218" s="446">
        <f t="shared" si="82"/>
        <v>-3544855.5799999945</v>
      </c>
      <c r="I218" s="447">
        <f t="shared" si="82"/>
        <v>2189315.3299999982</v>
      </c>
      <c r="J218" s="448">
        <f t="shared" si="82"/>
        <v>116942.55999999866</v>
      </c>
      <c r="K218" s="448">
        <f t="shared" si="82"/>
        <v>589143</v>
      </c>
      <c r="L218" s="448">
        <f t="shared" si="82"/>
        <v>628553</v>
      </c>
      <c r="M218" s="448">
        <f t="shared" si="82"/>
        <v>43280</v>
      </c>
      <c r="N218" s="448">
        <f t="shared" si="82"/>
        <v>799340</v>
      </c>
      <c r="O218" s="448">
        <f t="shared" si="82"/>
        <v>908836</v>
      </c>
      <c r="P218" s="448">
        <f t="shared" si="82"/>
        <v>952476</v>
      </c>
      <c r="Q218" s="448">
        <f t="shared" si="82"/>
        <v>961251</v>
      </c>
      <c r="R218" s="448">
        <f t="shared" si="82"/>
        <v>970840.42000000179</v>
      </c>
      <c r="S218" s="448" t="str">
        <f t="shared" si="82"/>
        <v/>
      </c>
      <c r="T218" s="448" t="str">
        <f t="shared" si="82"/>
        <v/>
      </c>
      <c r="U218" s="448" t="str">
        <f t="shared" si="82"/>
        <v/>
      </c>
      <c r="V218" s="448" t="str">
        <f t="shared" si="82"/>
        <v/>
      </c>
      <c r="W218" s="448" t="str">
        <f t="shared" si="82"/>
        <v/>
      </c>
      <c r="X218" s="448" t="str">
        <f t="shared" si="82"/>
        <v/>
      </c>
      <c r="Y218" s="448" t="str">
        <f t="shared" si="82"/>
        <v/>
      </c>
      <c r="Z218" s="448" t="str">
        <f t="shared" si="82"/>
        <v/>
      </c>
      <c r="AA218" s="448" t="str">
        <f t="shared" si="82"/>
        <v/>
      </c>
      <c r="AB218" s="448" t="str">
        <f t="shared" si="82"/>
        <v/>
      </c>
      <c r="AC218" s="448" t="str">
        <f t="shared" si="82"/>
        <v/>
      </c>
      <c r="AD218" s="448" t="str">
        <f t="shared" si="82"/>
        <v/>
      </c>
      <c r="AE218" s="448" t="str">
        <f t="shared" si="82"/>
        <v/>
      </c>
      <c r="AF218" s="448" t="str">
        <f t="shared" si="82"/>
        <v/>
      </c>
      <c r="AG218" s="448" t="str">
        <f t="shared" si="82"/>
        <v/>
      </c>
      <c r="AH218" s="448" t="str">
        <f t="shared" si="82"/>
        <v/>
      </c>
      <c r="AI218" s="448" t="str">
        <f t="shared" si="82"/>
        <v/>
      </c>
      <c r="AJ218" s="448" t="str">
        <f t="shared" si="82"/>
        <v/>
      </c>
      <c r="AK218" s="448" t="str">
        <f t="shared" si="82"/>
        <v/>
      </c>
      <c r="AL218" s="449" t="str">
        <f t="shared" si="82"/>
        <v/>
      </c>
      <c r="AM218" s="358"/>
    </row>
    <row r="219" spans="2:39" ht="15" hidden="1" outlineLevel="2">
      <c r="B219" s="413"/>
      <c r="C219" s="414"/>
      <c r="D219" s="419" t="s">
        <v>602</v>
      </c>
      <c r="E219" s="450" t="s">
        <v>600</v>
      </c>
      <c r="F219" s="451">
        <f t="shared" si="82"/>
        <v>2369435.3100000005</v>
      </c>
      <c r="G219" s="451">
        <f t="shared" si="82"/>
        <v>1480326.2599999979</v>
      </c>
      <c r="H219" s="452">
        <f t="shared" si="82"/>
        <v>-1280882.5299999975</v>
      </c>
      <c r="I219" s="447">
        <f t="shared" si="82"/>
        <v>1345690.2800000012</v>
      </c>
      <c r="J219" s="448">
        <f t="shared" si="82"/>
        <v>457265.55999999866</v>
      </c>
      <c r="K219" s="448">
        <f t="shared" si="82"/>
        <v>916442</v>
      </c>
      <c r="L219" s="448">
        <f t="shared" si="82"/>
        <v>784553</v>
      </c>
      <c r="M219" s="448">
        <f t="shared" si="82"/>
        <v>906780</v>
      </c>
      <c r="N219" s="448">
        <f t="shared" si="82"/>
        <v>1060640</v>
      </c>
      <c r="O219" s="448">
        <f t="shared" si="82"/>
        <v>935036</v>
      </c>
      <c r="P219" s="448">
        <f t="shared" si="82"/>
        <v>972476</v>
      </c>
      <c r="Q219" s="448">
        <f t="shared" si="82"/>
        <v>911251</v>
      </c>
      <c r="R219" s="448">
        <f t="shared" si="82"/>
        <v>1010840.4200000018</v>
      </c>
      <c r="S219" s="448" t="str">
        <f t="shared" si="82"/>
        <v/>
      </c>
      <c r="T219" s="448" t="str">
        <f t="shared" si="82"/>
        <v/>
      </c>
      <c r="U219" s="448" t="str">
        <f t="shared" si="82"/>
        <v/>
      </c>
      <c r="V219" s="448" t="str">
        <f t="shared" si="82"/>
        <v/>
      </c>
      <c r="W219" s="448" t="str">
        <f t="shared" si="82"/>
        <v/>
      </c>
      <c r="X219" s="448" t="str">
        <f t="shared" si="82"/>
        <v/>
      </c>
      <c r="Y219" s="448" t="str">
        <f t="shared" si="82"/>
        <v/>
      </c>
      <c r="Z219" s="448" t="str">
        <f t="shared" si="82"/>
        <v/>
      </c>
      <c r="AA219" s="448" t="str">
        <f t="shared" si="82"/>
        <v/>
      </c>
      <c r="AB219" s="448" t="str">
        <f t="shared" si="82"/>
        <v/>
      </c>
      <c r="AC219" s="448" t="str">
        <f t="shared" si="82"/>
        <v/>
      </c>
      <c r="AD219" s="448" t="str">
        <f t="shared" si="82"/>
        <v/>
      </c>
      <c r="AE219" s="448" t="str">
        <f t="shared" si="82"/>
        <v/>
      </c>
      <c r="AF219" s="448" t="str">
        <f t="shared" si="82"/>
        <v/>
      </c>
      <c r="AG219" s="448" t="str">
        <f t="shared" si="82"/>
        <v/>
      </c>
      <c r="AH219" s="448" t="str">
        <f t="shared" si="82"/>
        <v/>
      </c>
      <c r="AI219" s="448" t="str">
        <f t="shared" si="82"/>
        <v/>
      </c>
      <c r="AJ219" s="448" t="str">
        <f t="shared" si="82"/>
        <v/>
      </c>
      <c r="AK219" s="448" t="str">
        <f t="shared" si="82"/>
        <v/>
      </c>
      <c r="AL219" s="449" t="str">
        <f t="shared" si="82"/>
        <v/>
      </c>
      <c r="AM219" s="358"/>
    </row>
    <row r="220" spans="2:39" ht="15" hidden="1" outlineLevel="2">
      <c r="B220" s="413"/>
      <c r="C220" s="414"/>
      <c r="D220" s="419" t="s">
        <v>603</v>
      </c>
      <c r="E220" s="450" t="s">
        <v>600</v>
      </c>
      <c r="F220" s="451">
        <f t="shared" si="82"/>
        <v>-1077388.6500000004</v>
      </c>
      <c r="G220" s="451">
        <f t="shared" si="82"/>
        <v>2858797.14</v>
      </c>
      <c r="H220" s="452">
        <f t="shared" si="82"/>
        <v>-2263973.0499999998</v>
      </c>
      <c r="I220" s="447">
        <f t="shared" si="82"/>
        <v>843625.04999999981</v>
      </c>
      <c r="J220" s="448">
        <f t="shared" si="82"/>
        <v>-340323</v>
      </c>
      <c r="K220" s="448">
        <f t="shared" si="82"/>
        <v>-327299</v>
      </c>
      <c r="L220" s="448">
        <f t="shared" si="82"/>
        <v>-156000</v>
      </c>
      <c r="M220" s="448">
        <f t="shared" si="82"/>
        <v>-863500</v>
      </c>
      <c r="N220" s="448">
        <f t="shared" si="82"/>
        <v>-261300</v>
      </c>
      <c r="O220" s="448">
        <f t="shared" si="82"/>
        <v>-26200</v>
      </c>
      <c r="P220" s="448">
        <f t="shared" si="82"/>
        <v>-20000</v>
      </c>
      <c r="Q220" s="448">
        <f t="shared" si="82"/>
        <v>50000</v>
      </c>
      <c r="R220" s="448">
        <f t="shared" si="82"/>
        <v>-40000</v>
      </c>
      <c r="S220" s="448" t="str">
        <f t="shared" si="82"/>
        <v/>
      </c>
      <c r="T220" s="448" t="str">
        <f t="shared" si="82"/>
        <v/>
      </c>
      <c r="U220" s="448" t="str">
        <f t="shared" si="82"/>
        <v/>
      </c>
      <c r="V220" s="448" t="str">
        <f t="shared" si="82"/>
        <v/>
      </c>
      <c r="W220" s="448" t="str">
        <f t="shared" si="82"/>
        <v/>
      </c>
      <c r="X220" s="448" t="str">
        <f t="shared" si="82"/>
        <v/>
      </c>
      <c r="Y220" s="448" t="str">
        <f t="shared" si="82"/>
        <v/>
      </c>
      <c r="Z220" s="448" t="str">
        <f t="shared" si="82"/>
        <v/>
      </c>
      <c r="AA220" s="448" t="str">
        <f t="shared" si="82"/>
        <v/>
      </c>
      <c r="AB220" s="448" t="str">
        <f t="shared" si="82"/>
        <v/>
      </c>
      <c r="AC220" s="448" t="str">
        <f t="shared" si="82"/>
        <v/>
      </c>
      <c r="AD220" s="448" t="str">
        <f t="shared" si="82"/>
        <v/>
      </c>
      <c r="AE220" s="448" t="str">
        <f t="shared" si="82"/>
        <v/>
      </c>
      <c r="AF220" s="448" t="str">
        <f t="shared" si="82"/>
        <v/>
      </c>
      <c r="AG220" s="448" t="str">
        <f t="shared" si="82"/>
        <v/>
      </c>
      <c r="AH220" s="448" t="str">
        <f t="shared" si="82"/>
        <v/>
      </c>
      <c r="AI220" s="448" t="str">
        <f t="shared" si="82"/>
        <v/>
      </c>
      <c r="AJ220" s="448" t="str">
        <f t="shared" si="82"/>
        <v/>
      </c>
      <c r="AK220" s="448" t="str">
        <f t="shared" si="82"/>
        <v/>
      </c>
      <c r="AL220" s="449" t="str">
        <f t="shared" si="82"/>
        <v/>
      </c>
      <c r="AM220" s="358"/>
    </row>
    <row r="221" spans="2:39" ht="24" hidden="1" outlineLevel="2">
      <c r="B221" s="413"/>
      <c r="C221" s="414"/>
      <c r="D221" s="419" t="s">
        <v>604</v>
      </c>
      <c r="E221" s="450" t="s">
        <v>600</v>
      </c>
      <c r="F221" s="451">
        <f t="shared" si="82"/>
        <v>295254.65999999957</v>
      </c>
      <c r="G221" s="451">
        <f t="shared" si="82"/>
        <v>1061740.48</v>
      </c>
      <c r="H221" s="452">
        <f t="shared" si="82"/>
        <v>-1346050.9999999998</v>
      </c>
      <c r="I221" s="447">
        <f t="shared" si="82"/>
        <v>267274.99999999977</v>
      </c>
      <c r="J221" s="448">
        <f t="shared" si="82"/>
        <v>-31925</v>
      </c>
      <c r="K221" s="448">
        <f t="shared" si="82"/>
        <v>22701</v>
      </c>
      <c r="L221" s="448">
        <f t="shared" si="82"/>
        <v>44000</v>
      </c>
      <c r="M221" s="448">
        <f t="shared" si="82"/>
        <v>-213500</v>
      </c>
      <c r="N221" s="448">
        <f t="shared" si="82"/>
        <v>-61300</v>
      </c>
      <c r="O221" s="448">
        <f t="shared" si="82"/>
        <v>-26200</v>
      </c>
      <c r="P221" s="448">
        <f t="shared" si="82"/>
        <v>-20000</v>
      </c>
      <c r="Q221" s="448">
        <f t="shared" si="82"/>
        <v>50000</v>
      </c>
      <c r="R221" s="448">
        <f t="shared" si="82"/>
        <v>-40000</v>
      </c>
      <c r="S221" s="448" t="str">
        <f t="shared" si="82"/>
        <v/>
      </c>
      <c r="T221" s="448" t="str">
        <f t="shared" si="82"/>
        <v/>
      </c>
      <c r="U221" s="448" t="str">
        <f t="shared" si="82"/>
        <v/>
      </c>
      <c r="V221" s="448" t="str">
        <f t="shared" si="82"/>
        <v/>
      </c>
      <c r="W221" s="448" t="str">
        <f t="shared" si="82"/>
        <v/>
      </c>
      <c r="X221" s="448" t="str">
        <f t="shared" si="82"/>
        <v/>
      </c>
      <c r="Y221" s="448" t="str">
        <f t="shared" si="82"/>
        <v/>
      </c>
      <c r="Z221" s="448" t="str">
        <f t="shared" si="82"/>
        <v/>
      </c>
      <c r="AA221" s="448" t="str">
        <f t="shared" si="82"/>
        <v/>
      </c>
      <c r="AB221" s="448" t="str">
        <f t="shared" si="82"/>
        <v/>
      </c>
      <c r="AC221" s="448" t="str">
        <f t="shared" si="82"/>
        <v/>
      </c>
      <c r="AD221" s="448" t="str">
        <f t="shared" si="82"/>
        <v/>
      </c>
      <c r="AE221" s="448" t="str">
        <f t="shared" si="82"/>
        <v/>
      </c>
      <c r="AF221" s="448" t="str">
        <f t="shared" si="82"/>
        <v/>
      </c>
      <c r="AG221" s="448" t="str">
        <f t="shared" si="82"/>
        <v/>
      </c>
      <c r="AH221" s="448" t="str">
        <f t="shared" si="82"/>
        <v/>
      </c>
      <c r="AI221" s="448" t="str">
        <f t="shared" si="82"/>
        <v/>
      </c>
      <c r="AJ221" s="448" t="str">
        <f t="shared" si="82"/>
        <v/>
      </c>
      <c r="AK221" s="448" t="str">
        <f t="shared" si="82"/>
        <v/>
      </c>
      <c r="AL221" s="449" t="str">
        <f t="shared" si="82"/>
        <v/>
      </c>
      <c r="AM221" s="358"/>
    </row>
    <row r="222" spans="2:39" ht="15" hidden="1" outlineLevel="2">
      <c r="B222" s="413"/>
      <c r="C222" s="414"/>
      <c r="D222" s="423" t="s">
        <v>605</v>
      </c>
      <c r="E222" s="453" t="s">
        <v>600</v>
      </c>
      <c r="F222" s="454">
        <f t="shared" si="82"/>
        <v>-1372643.3099999998</v>
      </c>
      <c r="G222" s="454">
        <f t="shared" si="82"/>
        <v>1797056.66</v>
      </c>
      <c r="H222" s="455">
        <f t="shared" si="82"/>
        <v>-917922.05</v>
      </c>
      <c r="I222" s="456">
        <f t="shared" si="82"/>
        <v>576350.05000000005</v>
      </c>
      <c r="J222" s="457">
        <f t="shared" si="82"/>
        <v>-308398</v>
      </c>
      <c r="K222" s="457">
        <f t="shared" si="82"/>
        <v>-350000</v>
      </c>
      <c r="L222" s="457">
        <f t="shared" si="82"/>
        <v>-200000</v>
      </c>
      <c r="M222" s="457">
        <f t="shared" si="82"/>
        <v>-650000</v>
      </c>
      <c r="N222" s="457">
        <f t="shared" si="82"/>
        <v>-200000</v>
      </c>
      <c r="O222" s="457">
        <f t="shared" si="82"/>
        <v>0</v>
      </c>
      <c r="P222" s="457">
        <f t="shared" si="82"/>
        <v>0</v>
      </c>
      <c r="Q222" s="457">
        <f t="shared" si="82"/>
        <v>0</v>
      </c>
      <c r="R222" s="457">
        <f t="shared" si="82"/>
        <v>0</v>
      </c>
      <c r="S222" s="457" t="str">
        <f t="shared" si="82"/>
        <v/>
      </c>
      <c r="T222" s="457" t="str">
        <f t="shared" si="82"/>
        <v/>
      </c>
      <c r="U222" s="457" t="str">
        <f t="shared" si="82"/>
        <v/>
      </c>
      <c r="V222" s="457" t="str">
        <f t="shared" si="82"/>
        <v/>
      </c>
      <c r="W222" s="457" t="str">
        <f t="shared" si="82"/>
        <v/>
      </c>
      <c r="X222" s="457" t="str">
        <f t="shared" si="82"/>
        <v/>
      </c>
      <c r="Y222" s="457" t="str">
        <f t="shared" si="82"/>
        <v/>
      </c>
      <c r="Z222" s="457" t="str">
        <f t="shared" si="82"/>
        <v/>
      </c>
      <c r="AA222" s="457" t="str">
        <f t="shared" si="82"/>
        <v/>
      </c>
      <c r="AB222" s="457" t="str">
        <f t="shared" si="82"/>
        <v/>
      </c>
      <c r="AC222" s="457" t="str">
        <f t="shared" si="82"/>
        <v/>
      </c>
      <c r="AD222" s="457" t="str">
        <f t="shared" si="82"/>
        <v/>
      </c>
      <c r="AE222" s="457" t="str">
        <f t="shared" si="82"/>
        <v/>
      </c>
      <c r="AF222" s="457" t="str">
        <f t="shared" si="82"/>
        <v/>
      </c>
      <c r="AG222" s="457" t="str">
        <f t="shared" si="82"/>
        <v/>
      </c>
      <c r="AH222" s="457" t="str">
        <f t="shared" si="82"/>
        <v/>
      </c>
      <c r="AI222" s="457" t="str">
        <f t="shared" si="82"/>
        <v/>
      </c>
      <c r="AJ222" s="457" t="str">
        <f t="shared" si="82"/>
        <v/>
      </c>
      <c r="AK222" s="457" t="str">
        <f t="shared" si="82"/>
        <v/>
      </c>
      <c r="AL222" s="458" t="str">
        <f t="shared" si="82"/>
        <v/>
      </c>
      <c r="AM222" s="358"/>
    </row>
    <row r="223" spans="2:39" hidden="1" outlineLevel="2">
      <c r="B223" s="406"/>
      <c r="C223" s="407"/>
      <c r="D223" s="408" t="s">
        <v>230</v>
      </c>
      <c r="E223" s="438" t="s">
        <v>600</v>
      </c>
      <c r="F223" s="439">
        <f t="shared" ref="F223:AL228" si="83">+IF(F$236=0,"",F236-E236)</f>
        <v>5671321.4299999997</v>
      </c>
      <c r="G223" s="439">
        <f t="shared" si="83"/>
        <v>-748643.33000000194</v>
      </c>
      <c r="H223" s="440">
        <f t="shared" si="83"/>
        <v>-3901524.4299999997</v>
      </c>
      <c r="I223" s="441">
        <f t="shared" si="83"/>
        <v>146046.92000000179</v>
      </c>
      <c r="J223" s="442">
        <f t="shared" si="83"/>
        <v>-1215040.6400000006</v>
      </c>
      <c r="K223" s="442">
        <f t="shared" si="83"/>
        <v>521563</v>
      </c>
      <c r="L223" s="442">
        <f t="shared" si="83"/>
        <v>856553</v>
      </c>
      <c r="M223" s="442">
        <f t="shared" si="83"/>
        <v>542780</v>
      </c>
      <c r="N223" s="442">
        <f t="shared" si="83"/>
        <v>1085640</v>
      </c>
      <c r="O223" s="442">
        <f t="shared" si="83"/>
        <v>685036</v>
      </c>
      <c r="P223" s="442">
        <f t="shared" si="83"/>
        <v>3315870</v>
      </c>
      <c r="Q223" s="442">
        <f t="shared" si="83"/>
        <v>3262415</v>
      </c>
      <c r="R223" s="442">
        <f t="shared" si="83"/>
        <v>1610758</v>
      </c>
      <c r="S223" s="442" t="str">
        <f t="shared" si="83"/>
        <v/>
      </c>
      <c r="T223" s="442" t="str">
        <f t="shared" si="83"/>
        <v/>
      </c>
      <c r="U223" s="442" t="str">
        <f t="shared" si="83"/>
        <v/>
      </c>
      <c r="V223" s="442" t="str">
        <f t="shared" si="83"/>
        <v/>
      </c>
      <c r="W223" s="442" t="str">
        <f t="shared" si="83"/>
        <v/>
      </c>
      <c r="X223" s="442" t="str">
        <f t="shared" si="83"/>
        <v/>
      </c>
      <c r="Y223" s="442" t="str">
        <f t="shared" si="83"/>
        <v/>
      </c>
      <c r="Z223" s="442" t="str">
        <f t="shared" si="83"/>
        <v/>
      </c>
      <c r="AA223" s="442" t="str">
        <f t="shared" si="83"/>
        <v/>
      </c>
      <c r="AB223" s="442" t="str">
        <f t="shared" si="83"/>
        <v/>
      </c>
      <c r="AC223" s="442" t="str">
        <f t="shared" si="83"/>
        <v/>
      </c>
      <c r="AD223" s="442" t="str">
        <f t="shared" si="83"/>
        <v/>
      </c>
      <c r="AE223" s="442" t="str">
        <f t="shared" si="83"/>
        <v/>
      </c>
      <c r="AF223" s="442" t="str">
        <f t="shared" si="83"/>
        <v/>
      </c>
      <c r="AG223" s="442" t="str">
        <f t="shared" si="83"/>
        <v/>
      </c>
      <c r="AH223" s="442" t="str">
        <f t="shared" si="83"/>
        <v/>
      </c>
      <c r="AI223" s="442" t="str">
        <f t="shared" si="83"/>
        <v/>
      </c>
      <c r="AJ223" s="442" t="str">
        <f t="shared" si="83"/>
        <v/>
      </c>
      <c r="AK223" s="442" t="str">
        <f t="shared" si="83"/>
        <v/>
      </c>
      <c r="AL223" s="443" t="str">
        <f t="shared" si="83"/>
        <v/>
      </c>
      <c r="AM223" s="412"/>
    </row>
    <row r="224" spans="2:39" ht="24" hidden="1" outlineLevel="2">
      <c r="B224" s="413"/>
      <c r="C224" s="414"/>
      <c r="D224" s="427" t="s">
        <v>606</v>
      </c>
      <c r="E224" s="450" t="s">
        <v>600</v>
      </c>
      <c r="F224" s="451">
        <f t="shared" si="83"/>
        <v>-1995011.6999999993</v>
      </c>
      <c r="G224" s="451">
        <f t="shared" si="83"/>
        <v>4604266.3999999985</v>
      </c>
      <c r="H224" s="452">
        <f t="shared" si="83"/>
        <v>-3595110.4300000034</v>
      </c>
      <c r="I224" s="447">
        <f t="shared" si="83"/>
        <v>657962.17000000179</v>
      </c>
      <c r="J224" s="448">
        <f t="shared" si="83"/>
        <v>-512631.48999999836</v>
      </c>
      <c r="K224" s="448">
        <f t="shared" si="83"/>
        <v>876818</v>
      </c>
      <c r="L224" s="448">
        <f t="shared" si="83"/>
        <v>283983</v>
      </c>
      <c r="M224" s="448">
        <f t="shared" si="83"/>
        <v>-242220</v>
      </c>
      <c r="N224" s="448">
        <f t="shared" si="83"/>
        <v>532795</v>
      </c>
      <c r="O224" s="448">
        <f t="shared" si="83"/>
        <v>782881</v>
      </c>
      <c r="P224" s="448">
        <f t="shared" si="83"/>
        <v>691870</v>
      </c>
      <c r="Q224" s="448">
        <f t="shared" si="83"/>
        <v>-63585</v>
      </c>
      <c r="R224" s="448">
        <f t="shared" si="83"/>
        <v>960758</v>
      </c>
      <c r="S224" s="448" t="str">
        <f t="shared" si="83"/>
        <v/>
      </c>
      <c r="T224" s="448" t="str">
        <f t="shared" si="83"/>
        <v/>
      </c>
      <c r="U224" s="448" t="str">
        <f t="shared" si="83"/>
        <v/>
      </c>
      <c r="V224" s="448" t="str">
        <f t="shared" si="83"/>
        <v/>
      </c>
      <c r="W224" s="448" t="str">
        <f t="shared" si="83"/>
        <v/>
      </c>
      <c r="X224" s="448" t="str">
        <f t="shared" si="83"/>
        <v/>
      </c>
      <c r="Y224" s="448" t="str">
        <f t="shared" si="83"/>
        <v/>
      </c>
      <c r="Z224" s="448" t="str">
        <f t="shared" si="83"/>
        <v/>
      </c>
      <c r="AA224" s="448" t="str">
        <f t="shared" si="83"/>
        <v/>
      </c>
      <c r="AB224" s="448" t="str">
        <f t="shared" si="83"/>
        <v/>
      </c>
      <c r="AC224" s="448" t="str">
        <f t="shared" si="83"/>
        <v/>
      </c>
      <c r="AD224" s="448" t="str">
        <f t="shared" si="83"/>
        <v/>
      </c>
      <c r="AE224" s="448" t="str">
        <f t="shared" si="83"/>
        <v/>
      </c>
      <c r="AF224" s="448" t="str">
        <f t="shared" si="83"/>
        <v/>
      </c>
      <c r="AG224" s="448" t="str">
        <f t="shared" si="83"/>
        <v/>
      </c>
      <c r="AH224" s="448" t="str">
        <f t="shared" si="83"/>
        <v/>
      </c>
      <c r="AI224" s="448" t="str">
        <f t="shared" si="83"/>
        <v/>
      </c>
      <c r="AJ224" s="448" t="str">
        <f t="shared" si="83"/>
        <v/>
      </c>
      <c r="AK224" s="448" t="str">
        <f t="shared" si="83"/>
        <v/>
      </c>
      <c r="AL224" s="449" t="str">
        <f t="shared" si="83"/>
        <v/>
      </c>
      <c r="AM224" s="358"/>
    </row>
    <row r="225" spans="2:39" hidden="1" outlineLevel="2">
      <c r="B225" s="406"/>
      <c r="C225" s="407"/>
      <c r="D225" s="428" t="s">
        <v>607</v>
      </c>
      <c r="E225" s="459" t="s">
        <v>600</v>
      </c>
      <c r="F225" s="460">
        <f t="shared" si="83"/>
        <v>2417067.25</v>
      </c>
      <c r="G225" s="460">
        <f t="shared" si="83"/>
        <v>2396318.9899999984</v>
      </c>
      <c r="H225" s="461">
        <f t="shared" si="83"/>
        <v>-2057806.9399999976</v>
      </c>
      <c r="I225" s="462">
        <f t="shared" si="83"/>
        <v>1219294.5199999996</v>
      </c>
      <c r="J225" s="463">
        <f t="shared" si="83"/>
        <v>-528597.73000000045</v>
      </c>
      <c r="K225" s="463">
        <f t="shared" si="83"/>
        <v>355438</v>
      </c>
      <c r="L225" s="463">
        <f t="shared" si="83"/>
        <v>291689</v>
      </c>
      <c r="M225" s="463">
        <f t="shared" si="83"/>
        <v>420261</v>
      </c>
      <c r="N225" s="463">
        <f t="shared" si="83"/>
        <v>373840</v>
      </c>
      <c r="O225" s="463">
        <f t="shared" si="83"/>
        <v>372400</v>
      </c>
      <c r="P225" s="463">
        <f t="shared" si="83"/>
        <v>388760</v>
      </c>
      <c r="Q225" s="463">
        <f t="shared" si="83"/>
        <v>296537</v>
      </c>
      <c r="R225" s="463">
        <f t="shared" si="83"/>
        <v>504512</v>
      </c>
      <c r="S225" s="463" t="str">
        <f t="shared" si="83"/>
        <v/>
      </c>
      <c r="T225" s="463" t="str">
        <f t="shared" si="83"/>
        <v/>
      </c>
      <c r="U225" s="463" t="str">
        <f t="shared" si="83"/>
        <v/>
      </c>
      <c r="V225" s="463" t="str">
        <f t="shared" si="83"/>
        <v/>
      </c>
      <c r="W225" s="463" t="str">
        <f t="shared" si="83"/>
        <v/>
      </c>
      <c r="X225" s="463" t="str">
        <f t="shared" si="83"/>
        <v/>
      </c>
      <c r="Y225" s="463" t="str">
        <f t="shared" si="83"/>
        <v/>
      </c>
      <c r="Z225" s="463" t="str">
        <f t="shared" si="83"/>
        <v/>
      </c>
      <c r="AA225" s="463" t="str">
        <f t="shared" si="83"/>
        <v/>
      </c>
      <c r="AB225" s="463" t="str">
        <f t="shared" si="83"/>
        <v/>
      </c>
      <c r="AC225" s="463" t="str">
        <f t="shared" si="83"/>
        <v/>
      </c>
      <c r="AD225" s="463" t="str">
        <f t="shared" si="83"/>
        <v/>
      </c>
      <c r="AE225" s="463" t="str">
        <f t="shared" si="83"/>
        <v/>
      </c>
      <c r="AF225" s="463" t="str">
        <f t="shared" si="83"/>
        <v/>
      </c>
      <c r="AG225" s="463" t="str">
        <f t="shared" si="83"/>
        <v/>
      </c>
      <c r="AH225" s="463" t="str">
        <f t="shared" si="83"/>
        <v/>
      </c>
      <c r="AI225" s="463" t="str">
        <f t="shared" si="83"/>
        <v/>
      </c>
      <c r="AJ225" s="463" t="str">
        <f t="shared" si="83"/>
        <v/>
      </c>
      <c r="AK225" s="463" t="str">
        <f t="shared" si="83"/>
        <v/>
      </c>
      <c r="AL225" s="464" t="str">
        <f t="shared" si="83"/>
        <v/>
      </c>
      <c r="AM225" s="412"/>
    </row>
    <row r="226" spans="2:39" ht="24" hidden="1" outlineLevel="2">
      <c r="B226" s="413"/>
      <c r="C226" s="414"/>
      <c r="D226" s="419" t="s">
        <v>608</v>
      </c>
      <c r="E226" s="450" t="s">
        <v>600</v>
      </c>
      <c r="F226" s="451">
        <f t="shared" si="83"/>
        <v>1645470.7300000004</v>
      </c>
      <c r="G226" s="451">
        <f t="shared" si="83"/>
        <v>2537088.1099999994</v>
      </c>
      <c r="H226" s="452">
        <f t="shared" si="83"/>
        <v>-2056584.75</v>
      </c>
      <c r="I226" s="447">
        <f t="shared" si="83"/>
        <v>1161000.9500000011</v>
      </c>
      <c r="J226" s="448">
        <f t="shared" si="83"/>
        <v>-127910.95000000112</v>
      </c>
      <c r="K226" s="448">
        <f t="shared" si="83"/>
        <v>532650</v>
      </c>
      <c r="L226" s="448">
        <f t="shared" si="83"/>
        <v>291689</v>
      </c>
      <c r="M226" s="448">
        <f t="shared" si="83"/>
        <v>470261</v>
      </c>
      <c r="N226" s="448">
        <f t="shared" si="83"/>
        <v>373840</v>
      </c>
      <c r="O226" s="448">
        <f t="shared" si="83"/>
        <v>432400</v>
      </c>
      <c r="P226" s="448">
        <f t="shared" si="83"/>
        <v>388760</v>
      </c>
      <c r="Q226" s="448">
        <f t="shared" si="83"/>
        <v>296537</v>
      </c>
      <c r="R226" s="448">
        <f t="shared" si="83"/>
        <v>504512</v>
      </c>
      <c r="S226" s="448" t="str">
        <f t="shared" si="83"/>
        <v/>
      </c>
      <c r="T226" s="448" t="str">
        <f t="shared" si="83"/>
        <v/>
      </c>
      <c r="U226" s="448" t="str">
        <f t="shared" si="83"/>
        <v/>
      </c>
      <c r="V226" s="448" t="str">
        <f t="shared" si="83"/>
        <v/>
      </c>
      <c r="W226" s="448" t="str">
        <f t="shared" si="83"/>
        <v/>
      </c>
      <c r="X226" s="448" t="str">
        <f t="shared" si="83"/>
        <v/>
      </c>
      <c r="Y226" s="448" t="str">
        <f t="shared" si="83"/>
        <v/>
      </c>
      <c r="Z226" s="448" t="str">
        <f t="shared" si="83"/>
        <v/>
      </c>
      <c r="AA226" s="448" t="str">
        <f t="shared" si="83"/>
        <v/>
      </c>
      <c r="AB226" s="448" t="str">
        <f t="shared" si="83"/>
        <v/>
      </c>
      <c r="AC226" s="448" t="str">
        <f t="shared" si="83"/>
        <v/>
      </c>
      <c r="AD226" s="448" t="str">
        <f t="shared" si="83"/>
        <v/>
      </c>
      <c r="AE226" s="448" t="str">
        <f t="shared" si="83"/>
        <v/>
      </c>
      <c r="AF226" s="448" t="str">
        <f t="shared" si="83"/>
        <v/>
      </c>
      <c r="AG226" s="448" t="str">
        <f t="shared" si="83"/>
        <v/>
      </c>
      <c r="AH226" s="448" t="str">
        <f t="shared" si="83"/>
        <v/>
      </c>
      <c r="AI226" s="448" t="str">
        <f t="shared" si="83"/>
        <v/>
      </c>
      <c r="AJ226" s="448" t="str">
        <f t="shared" si="83"/>
        <v/>
      </c>
      <c r="AK226" s="448" t="str">
        <f t="shared" si="83"/>
        <v/>
      </c>
      <c r="AL226" s="449" t="str">
        <f t="shared" si="83"/>
        <v/>
      </c>
      <c r="AM226" s="358"/>
    </row>
    <row r="227" spans="2:39" ht="15" hidden="1" outlineLevel="2">
      <c r="B227" s="413"/>
      <c r="C227" s="414"/>
      <c r="D227" s="419" t="s">
        <v>609</v>
      </c>
      <c r="E227" s="450" t="s">
        <v>600</v>
      </c>
      <c r="F227" s="451">
        <f t="shared" si="83"/>
        <v>625623.41999999993</v>
      </c>
      <c r="G227" s="451">
        <f t="shared" si="83"/>
        <v>405716.94000000041</v>
      </c>
      <c r="H227" s="452">
        <f t="shared" si="83"/>
        <v>-297374.81000000052</v>
      </c>
      <c r="I227" s="447">
        <f t="shared" si="83"/>
        <v>72185.379999999888</v>
      </c>
      <c r="J227" s="448">
        <f t="shared" si="83"/>
        <v>-179051.46999999974</v>
      </c>
      <c r="K227" s="448">
        <f t="shared" si="83"/>
        <v>75153</v>
      </c>
      <c r="L227" s="448">
        <f t="shared" si="83"/>
        <v>67232</v>
      </c>
      <c r="M227" s="448">
        <f t="shared" si="83"/>
        <v>-6657760</v>
      </c>
      <c r="N227" s="448">
        <f t="shared" si="83"/>
        <v>0</v>
      </c>
      <c r="O227" s="448">
        <f t="shared" si="83"/>
        <v>0</v>
      </c>
      <c r="P227" s="448">
        <f t="shared" si="83"/>
        <v>0</v>
      </c>
      <c r="Q227" s="448">
        <f t="shared" si="83"/>
        <v>0</v>
      </c>
      <c r="R227" s="448">
        <f t="shared" si="83"/>
        <v>0</v>
      </c>
      <c r="S227" s="448" t="str">
        <f t="shared" si="83"/>
        <v/>
      </c>
      <c r="T227" s="448" t="str">
        <f t="shared" si="83"/>
        <v/>
      </c>
      <c r="U227" s="448" t="str">
        <f t="shared" si="83"/>
        <v/>
      </c>
      <c r="V227" s="448" t="str">
        <f t="shared" si="83"/>
        <v/>
      </c>
      <c r="W227" s="448" t="str">
        <f t="shared" si="83"/>
        <v/>
      </c>
      <c r="X227" s="448" t="str">
        <f t="shared" si="83"/>
        <v/>
      </c>
      <c r="Y227" s="448" t="str">
        <f t="shared" si="83"/>
        <v/>
      </c>
      <c r="Z227" s="448" t="str">
        <f t="shared" si="83"/>
        <v/>
      </c>
      <c r="AA227" s="448" t="str">
        <f t="shared" si="83"/>
        <v/>
      </c>
      <c r="AB227" s="448" t="str">
        <f t="shared" si="83"/>
        <v/>
      </c>
      <c r="AC227" s="448" t="str">
        <f t="shared" si="83"/>
        <v/>
      </c>
      <c r="AD227" s="448" t="str">
        <f t="shared" si="83"/>
        <v/>
      </c>
      <c r="AE227" s="448" t="str">
        <f t="shared" si="83"/>
        <v/>
      </c>
      <c r="AF227" s="448" t="str">
        <f t="shared" si="83"/>
        <v/>
      </c>
      <c r="AG227" s="448" t="str">
        <f t="shared" si="83"/>
        <v/>
      </c>
      <c r="AH227" s="448" t="str">
        <f t="shared" si="83"/>
        <v/>
      </c>
      <c r="AI227" s="448" t="str">
        <f t="shared" si="83"/>
        <v/>
      </c>
      <c r="AJ227" s="448" t="str">
        <f t="shared" si="83"/>
        <v/>
      </c>
      <c r="AK227" s="448" t="str">
        <f t="shared" si="83"/>
        <v/>
      </c>
      <c r="AL227" s="449" t="str">
        <f t="shared" si="83"/>
        <v/>
      </c>
      <c r="AM227" s="358"/>
    </row>
    <row r="228" spans="2:39" ht="36" hidden="1" outlineLevel="2">
      <c r="B228" s="413"/>
      <c r="C228" s="414"/>
      <c r="D228" s="423" t="s">
        <v>610</v>
      </c>
      <c r="E228" s="453" t="s">
        <v>600</v>
      </c>
      <c r="F228" s="454">
        <f t="shared" si="83"/>
        <v>-1351918.0899999999</v>
      </c>
      <c r="G228" s="454">
        <f t="shared" si="83"/>
        <v>1697978.3099999977</v>
      </c>
      <c r="H228" s="455">
        <f t="shared" si="83"/>
        <v>-1335406.429999996</v>
      </c>
      <c r="I228" s="456">
        <f t="shared" si="83"/>
        <v>1047356.4399999995</v>
      </c>
      <c r="J228" s="457">
        <f t="shared" si="83"/>
        <v>-256607.26000000164</v>
      </c>
      <c r="K228" s="457">
        <f t="shared" si="83"/>
        <v>358674</v>
      </c>
      <c r="L228" s="457">
        <f t="shared" si="83"/>
        <v>304383</v>
      </c>
      <c r="M228" s="457">
        <f t="shared" si="83"/>
        <v>10232934</v>
      </c>
      <c r="N228" s="457">
        <f t="shared" si="83"/>
        <v>498312</v>
      </c>
      <c r="O228" s="457">
        <f t="shared" si="83"/>
        <v>485175</v>
      </c>
      <c r="P228" s="457">
        <f t="shared" si="83"/>
        <v>496117</v>
      </c>
      <c r="Q228" s="457">
        <f t="shared" si="83"/>
        <v>343963</v>
      </c>
      <c r="R228" s="457">
        <f t="shared" si="83"/>
        <v>515982</v>
      </c>
      <c r="S228" s="457" t="str">
        <f t="shared" si="83"/>
        <v/>
      </c>
      <c r="T228" s="457" t="str">
        <f t="shared" si="83"/>
        <v/>
      </c>
      <c r="U228" s="457" t="str">
        <f t="shared" si="83"/>
        <v/>
      </c>
      <c r="V228" s="457" t="str">
        <f t="shared" si="83"/>
        <v/>
      </c>
      <c r="W228" s="457" t="str">
        <f t="shared" si="83"/>
        <v/>
      </c>
      <c r="X228" s="457" t="str">
        <f t="shared" si="83"/>
        <v/>
      </c>
      <c r="Y228" s="457" t="str">
        <f t="shared" si="83"/>
        <v/>
      </c>
      <c r="Z228" s="457" t="str">
        <f t="shared" si="83"/>
        <v/>
      </c>
      <c r="AA228" s="457" t="str">
        <f t="shared" si="83"/>
        <v/>
      </c>
      <c r="AB228" s="457" t="str">
        <f t="shared" si="83"/>
        <v/>
      </c>
      <c r="AC228" s="457" t="str">
        <f t="shared" si="83"/>
        <v/>
      </c>
      <c r="AD228" s="457" t="str">
        <f t="shared" si="83"/>
        <v/>
      </c>
      <c r="AE228" s="457" t="str">
        <f t="shared" si="83"/>
        <v/>
      </c>
      <c r="AF228" s="457" t="str">
        <f t="shared" si="83"/>
        <v/>
      </c>
      <c r="AG228" s="457" t="str">
        <f t="shared" si="83"/>
        <v/>
      </c>
      <c r="AH228" s="457" t="str">
        <f t="shared" si="83"/>
        <v/>
      </c>
      <c r="AI228" s="457" t="str">
        <f t="shared" si="83"/>
        <v/>
      </c>
      <c r="AJ228" s="457" t="str">
        <f t="shared" si="83"/>
        <v/>
      </c>
      <c r="AK228" s="457" t="str">
        <f t="shared" si="83"/>
        <v/>
      </c>
      <c r="AL228" s="458" t="str">
        <f t="shared" si="83"/>
        <v/>
      </c>
      <c r="AM228" s="358"/>
    </row>
    <row r="229" spans="2:39" ht="15" hidden="1" outlineLevel="1">
      <c r="B229" s="413"/>
      <c r="C229" s="414"/>
      <c r="D229" s="388" t="s">
        <v>614</v>
      </c>
      <c r="E229" s="435"/>
      <c r="F229" s="435"/>
      <c r="G229" s="435"/>
      <c r="H229" s="435"/>
      <c r="I229" s="437"/>
      <c r="J229" s="437"/>
      <c r="K229" s="437"/>
      <c r="L229" s="437"/>
      <c r="M229" s="437"/>
      <c r="N229" s="437"/>
      <c r="O229" s="437"/>
      <c r="P229" s="437"/>
      <c r="Q229" s="437"/>
      <c r="R229" s="437"/>
      <c r="S229" s="437"/>
      <c r="T229" s="437"/>
      <c r="U229" s="437"/>
      <c r="V229" s="437"/>
      <c r="W229" s="437"/>
      <c r="X229" s="437"/>
      <c r="Y229" s="437"/>
      <c r="Z229" s="437"/>
      <c r="AA229" s="437"/>
      <c r="AB229" s="437"/>
      <c r="AC229" s="437"/>
      <c r="AD229" s="437"/>
      <c r="AE229" s="437"/>
      <c r="AF229" s="437"/>
      <c r="AG229" s="437"/>
      <c r="AH229" s="437"/>
      <c r="AI229" s="437"/>
      <c r="AJ229" s="437"/>
      <c r="AK229" s="437"/>
      <c r="AL229" s="437"/>
      <c r="AM229" s="358"/>
    </row>
    <row r="230" spans="2:39" hidden="1" outlineLevel="2">
      <c r="B230" s="406"/>
      <c r="C230" s="407"/>
      <c r="D230" s="408" t="s">
        <v>205</v>
      </c>
      <c r="E230" s="465">
        <f t="shared" ref="E230:AL230" si="84">+E10</f>
        <v>18734729.550000001</v>
      </c>
      <c r="F230" s="466">
        <f t="shared" si="84"/>
        <v>20245143.629999999</v>
      </c>
      <c r="G230" s="466">
        <f t="shared" si="84"/>
        <v>24139022.149999999</v>
      </c>
      <c r="H230" s="467">
        <f t="shared" si="84"/>
        <v>20184871.670000002</v>
      </c>
      <c r="I230" s="441">
        <f t="shared" si="84"/>
        <v>21834404.640000001</v>
      </c>
      <c r="J230" s="442">
        <f t="shared" si="84"/>
        <v>20719364</v>
      </c>
      <c r="K230" s="442">
        <f t="shared" si="84"/>
        <v>21240927</v>
      </c>
      <c r="L230" s="442">
        <f t="shared" si="84"/>
        <v>22097480</v>
      </c>
      <c r="M230" s="442">
        <f t="shared" si="84"/>
        <v>22640260</v>
      </c>
      <c r="N230" s="442">
        <f t="shared" si="84"/>
        <v>23725900</v>
      </c>
      <c r="O230" s="442">
        <f t="shared" si="84"/>
        <v>24370936</v>
      </c>
      <c r="P230" s="442">
        <f t="shared" si="84"/>
        <v>26783412</v>
      </c>
      <c r="Q230" s="442">
        <f t="shared" si="84"/>
        <v>29394663</v>
      </c>
      <c r="R230" s="442">
        <f t="shared" si="84"/>
        <v>30905503.420000002</v>
      </c>
      <c r="S230" s="442">
        <f t="shared" si="84"/>
        <v>0</v>
      </c>
      <c r="T230" s="442">
        <f t="shared" si="84"/>
        <v>0</v>
      </c>
      <c r="U230" s="442">
        <f t="shared" si="84"/>
        <v>0</v>
      </c>
      <c r="V230" s="442">
        <f t="shared" si="84"/>
        <v>0</v>
      </c>
      <c r="W230" s="442">
        <f t="shared" si="84"/>
        <v>0</v>
      </c>
      <c r="X230" s="442">
        <f t="shared" si="84"/>
        <v>0</v>
      </c>
      <c r="Y230" s="442">
        <f t="shared" si="84"/>
        <v>0</v>
      </c>
      <c r="Z230" s="442">
        <f t="shared" si="84"/>
        <v>0</v>
      </c>
      <c r="AA230" s="442">
        <f t="shared" si="84"/>
        <v>0</v>
      </c>
      <c r="AB230" s="442">
        <f t="shared" si="84"/>
        <v>0</v>
      </c>
      <c r="AC230" s="442">
        <f t="shared" si="84"/>
        <v>0</v>
      </c>
      <c r="AD230" s="442">
        <f t="shared" si="84"/>
        <v>0</v>
      </c>
      <c r="AE230" s="442">
        <f t="shared" si="84"/>
        <v>0</v>
      </c>
      <c r="AF230" s="442">
        <f t="shared" si="84"/>
        <v>0</v>
      </c>
      <c r="AG230" s="442">
        <f t="shared" si="84"/>
        <v>0</v>
      </c>
      <c r="AH230" s="442">
        <f t="shared" si="84"/>
        <v>0</v>
      </c>
      <c r="AI230" s="442">
        <f t="shared" si="84"/>
        <v>0</v>
      </c>
      <c r="AJ230" s="442">
        <f t="shared" si="84"/>
        <v>0</v>
      </c>
      <c r="AK230" s="442">
        <f t="shared" si="84"/>
        <v>0</v>
      </c>
      <c r="AL230" s="443">
        <f t="shared" si="84"/>
        <v>0</v>
      </c>
      <c r="AM230" s="412"/>
    </row>
    <row r="231" spans="2:39" ht="15" hidden="1" outlineLevel="2">
      <c r="B231" s="413"/>
      <c r="C231" s="414"/>
      <c r="D231" s="415" t="s">
        <v>601</v>
      </c>
      <c r="E231" s="468">
        <f t="shared" ref="E231:AL231" si="85">+(E10-E75-E78)</f>
        <v>16089211.629999999</v>
      </c>
      <c r="F231" s="469">
        <f t="shared" si="85"/>
        <v>17381258.289999999</v>
      </c>
      <c r="G231" s="469">
        <f t="shared" si="85"/>
        <v>21720381.689999998</v>
      </c>
      <c r="H231" s="470">
        <f t="shared" si="85"/>
        <v>18175526.110000003</v>
      </c>
      <c r="I231" s="447">
        <f t="shared" si="85"/>
        <v>20364841.440000001</v>
      </c>
      <c r="J231" s="448">
        <f t="shared" si="85"/>
        <v>20481784</v>
      </c>
      <c r="K231" s="448">
        <f t="shared" si="85"/>
        <v>21070927</v>
      </c>
      <c r="L231" s="448">
        <f t="shared" si="85"/>
        <v>21699480</v>
      </c>
      <c r="M231" s="448">
        <f t="shared" si="85"/>
        <v>21742760</v>
      </c>
      <c r="N231" s="448">
        <f t="shared" si="85"/>
        <v>22542100</v>
      </c>
      <c r="O231" s="448">
        <f t="shared" si="85"/>
        <v>23450936</v>
      </c>
      <c r="P231" s="448">
        <f t="shared" si="85"/>
        <v>24403412</v>
      </c>
      <c r="Q231" s="448">
        <f t="shared" si="85"/>
        <v>25364663</v>
      </c>
      <c r="R231" s="448">
        <f t="shared" si="85"/>
        <v>26335503.420000002</v>
      </c>
      <c r="S231" s="448">
        <f t="shared" si="85"/>
        <v>0</v>
      </c>
      <c r="T231" s="448">
        <f t="shared" si="85"/>
        <v>0</v>
      </c>
      <c r="U231" s="448">
        <f t="shared" si="85"/>
        <v>0</v>
      </c>
      <c r="V231" s="448">
        <f t="shared" si="85"/>
        <v>0</v>
      </c>
      <c r="W231" s="448">
        <f t="shared" si="85"/>
        <v>0</v>
      </c>
      <c r="X231" s="448">
        <f t="shared" si="85"/>
        <v>0</v>
      </c>
      <c r="Y231" s="448">
        <f t="shared" si="85"/>
        <v>0</v>
      </c>
      <c r="Z231" s="448">
        <f t="shared" si="85"/>
        <v>0</v>
      </c>
      <c r="AA231" s="448">
        <f t="shared" si="85"/>
        <v>0</v>
      </c>
      <c r="AB231" s="448">
        <f t="shared" si="85"/>
        <v>0</v>
      </c>
      <c r="AC231" s="448">
        <f t="shared" si="85"/>
        <v>0</v>
      </c>
      <c r="AD231" s="448">
        <f t="shared" si="85"/>
        <v>0</v>
      </c>
      <c r="AE231" s="448">
        <f t="shared" si="85"/>
        <v>0</v>
      </c>
      <c r="AF231" s="448">
        <f t="shared" si="85"/>
        <v>0</v>
      </c>
      <c r="AG231" s="448">
        <f t="shared" si="85"/>
        <v>0</v>
      </c>
      <c r="AH231" s="448">
        <f t="shared" si="85"/>
        <v>0</v>
      </c>
      <c r="AI231" s="448">
        <f t="shared" si="85"/>
        <v>0</v>
      </c>
      <c r="AJ231" s="448">
        <f t="shared" si="85"/>
        <v>0</v>
      </c>
      <c r="AK231" s="448">
        <f t="shared" si="85"/>
        <v>0</v>
      </c>
      <c r="AL231" s="449">
        <f t="shared" si="85"/>
        <v>0</v>
      </c>
      <c r="AM231" s="358"/>
    </row>
    <row r="232" spans="2:39" ht="15" hidden="1" outlineLevel="2">
      <c r="B232" s="413"/>
      <c r="C232" s="414"/>
      <c r="D232" s="419" t="s">
        <v>602</v>
      </c>
      <c r="E232" s="468">
        <f t="shared" ref="E232:AL232" si="86">+E11-E75</f>
        <v>14435650.119999999</v>
      </c>
      <c r="F232" s="469">
        <f t="shared" si="86"/>
        <v>16805085.43</v>
      </c>
      <c r="G232" s="469">
        <f t="shared" si="86"/>
        <v>18285411.689999998</v>
      </c>
      <c r="H232" s="470">
        <f t="shared" si="86"/>
        <v>17004529.16</v>
      </c>
      <c r="I232" s="447">
        <f t="shared" si="86"/>
        <v>18350219.440000001</v>
      </c>
      <c r="J232" s="448">
        <f t="shared" si="86"/>
        <v>18807485</v>
      </c>
      <c r="K232" s="448">
        <f t="shared" si="86"/>
        <v>19723927</v>
      </c>
      <c r="L232" s="448">
        <f t="shared" si="86"/>
        <v>20508480</v>
      </c>
      <c r="M232" s="448">
        <f t="shared" si="86"/>
        <v>21415260</v>
      </c>
      <c r="N232" s="448">
        <f t="shared" si="86"/>
        <v>22475900</v>
      </c>
      <c r="O232" s="448">
        <f t="shared" si="86"/>
        <v>23410936</v>
      </c>
      <c r="P232" s="448">
        <f t="shared" si="86"/>
        <v>24383412</v>
      </c>
      <c r="Q232" s="448">
        <f t="shared" si="86"/>
        <v>25294663</v>
      </c>
      <c r="R232" s="448">
        <f t="shared" si="86"/>
        <v>26305503.420000002</v>
      </c>
      <c r="S232" s="448">
        <f t="shared" si="86"/>
        <v>0</v>
      </c>
      <c r="T232" s="448">
        <f t="shared" si="86"/>
        <v>0</v>
      </c>
      <c r="U232" s="448">
        <f t="shared" si="86"/>
        <v>0</v>
      </c>
      <c r="V232" s="448">
        <f t="shared" si="86"/>
        <v>0</v>
      </c>
      <c r="W232" s="448">
        <f t="shared" si="86"/>
        <v>0</v>
      </c>
      <c r="X232" s="448">
        <f t="shared" si="86"/>
        <v>0</v>
      </c>
      <c r="Y232" s="448">
        <f t="shared" si="86"/>
        <v>0</v>
      </c>
      <c r="Z232" s="448">
        <f t="shared" si="86"/>
        <v>0</v>
      </c>
      <c r="AA232" s="448">
        <f t="shared" si="86"/>
        <v>0</v>
      </c>
      <c r="AB232" s="448">
        <f t="shared" si="86"/>
        <v>0</v>
      </c>
      <c r="AC232" s="448">
        <f t="shared" si="86"/>
        <v>0</v>
      </c>
      <c r="AD232" s="448">
        <f t="shared" si="86"/>
        <v>0</v>
      </c>
      <c r="AE232" s="448">
        <f t="shared" si="86"/>
        <v>0</v>
      </c>
      <c r="AF232" s="448">
        <f t="shared" si="86"/>
        <v>0</v>
      </c>
      <c r="AG232" s="448">
        <f t="shared" si="86"/>
        <v>0</v>
      </c>
      <c r="AH232" s="448">
        <f t="shared" si="86"/>
        <v>0</v>
      </c>
      <c r="AI232" s="448">
        <f t="shared" si="86"/>
        <v>0</v>
      </c>
      <c r="AJ232" s="448">
        <f t="shared" si="86"/>
        <v>0</v>
      </c>
      <c r="AK232" s="448">
        <f t="shared" si="86"/>
        <v>0</v>
      </c>
      <c r="AL232" s="449">
        <f t="shared" si="86"/>
        <v>0</v>
      </c>
      <c r="AM232" s="358"/>
    </row>
    <row r="233" spans="2:39" ht="15" hidden="1" outlineLevel="2">
      <c r="B233" s="413"/>
      <c r="C233" s="414"/>
      <c r="D233" s="419" t="s">
        <v>603</v>
      </c>
      <c r="E233" s="468">
        <f t="shared" ref="E233:AL233" si="87">+E18-E78</f>
        <v>1653561.5100000002</v>
      </c>
      <c r="F233" s="469">
        <f t="shared" si="87"/>
        <v>576172.85999999987</v>
      </c>
      <c r="G233" s="469">
        <f t="shared" si="87"/>
        <v>3434970</v>
      </c>
      <c r="H233" s="470">
        <f t="shared" si="87"/>
        <v>1170996.9500000002</v>
      </c>
      <c r="I233" s="447">
        <f t="shared" si="87"/>
        <v>2014622</v>
      </c>
      <c r="J233" s="448">
        <f t="shared" si="87"/>
        <v>1674299</v>
      </c>
      <c r="K233" s="448">
        <f t="shared" si="87"/>
        <v>1347000</v>
      </c>
      <c r="L233" s="448">
        <f t="shared" si="87"/>
        <v>1191000</v>
      </c>
      <c r="M233" s="448">
        <f t="shared" si="87"/>
        <v>327500</v>
      </c>
      <c r="N233" s="448">
        <f t="shared" si="87"/>
        <v>66200</v>
      </c>
      <c r="O233" s="448">
        <f t="shared" si="87"/>
        <v>40000</v>
      </c>
      <c r="P233" s="448">
        <f t="shared" si="87"/>
        <v>20000</v>
      </c>
      <c r="Q233" s="448">
        <f t="shared" si="87"/>
        <v>70000</v>
      </c>
      <c r="R233" s="448">
        <f t="shared" si="87"/>
        <v>30000</v>
      </c>
      <c r="S233" s="448">
        <f t="shared" si="87"/>
        <v>0</v>
      </c>
      <c r="T233" s="448">
        <f t="shared" si="87"/>
        <v>0</v>
      </c>
      <c r="U233" s="448">
        <f t="shared" si="87"/>
        <v>0</v>
      </c>
      <c r="V233" s="448">
        <f t="shared" si="87"/>
        <v>0</v>
      </c>
      <c r="W233" s="448">
        <f t="shared" si="87"/>
        <v>0</v>
      </c>
      <c r="X233" s="448">
        <f t="shared" si="87"/>
        <v>0</v>
      </c>
      <c r="Y233" s="448">
        <f t="shared" si="87"/>
        <v>0</v>
      </c>
      <c r="Z233" s="448">
        <f t="shared" si="87"/>
        <v>0</v>
      </c>
      <c r="AA233" s="448">
        <f t="shared" si="87"/>
        <v>0</v>
      </c>
      <c r="AB233" s="448">
        <f t="shared" si="87"/>
        <v>0</v>
      </c>
      <c r="AC233" s="448">
        <f t="shared" si="87"/>
        <v>0</v>
      </c>
      <c r="AD233" s="448">
        <f t="shared" si="87"/>
        <v>0</v>
      </c>
      <c r="AE233" s="448">
        <f t="shared" si="87"/>
        <v>0</v>
      </c>
      <c r="AF233" s="448">
        <f t="shared" si="87"/>
        <v>0</v>
      </c>
      <c r="AG233" s="448">
        <f t="shared" si="87"/>
        <v>0</v>
      </c>
      <c r="AH233" s="448">
        <f t="shared" si="87"/>
        <v>0</v>
      </c>
      <c r="AI233" s="448">
        <f t="shared" si="87"/>
        <v>0</v>
      </c>
      <c r="AJ233" s="448">
        <f t="shared" si="87"/>
        <v>0</v>
      </c>
      <c r="AK233" s="448">
        <f t="shared" si="87"/>
        <v>0</v>
      </c>
      <c r="AL233" s="449">
        <f t="shared" si="87"/>
        <v>0</v>
      </c>
      <c r="AM233" s="358"/>
    </row>
    <row r="234" spans="2:39" ht="24" hidden="1" outlineLevel="2">
      <c r="B234" s="413"/>
      <c r="C234" s="414"/>
      <c r="D234" s="419" t="s">
        <v>604</v>
      </c>
      <c r="E234" s="468">
        <f t="shared" ref="E234:AL234" si="88">+E18-E78-E19</f>
        <v>28004.860000000335</v>
      </c>
      <c r="F234" s="469">
        <f t="shared" si="88"/>
        <v>323259.5199999999</v>
      </c>
      <c r="G234" s="469">
        <f t="shared" si="88"/>
        <v>1385000</v>
      </c>
      <c r="H234" s="470">
        <f t="shared" si="88"/>
        <v>38949.000000000233</v>
      </c>
      <c r="I234" s="447">
        <f t="shared" si="88"/>
        <v>306224</v>
      </c>
      <c r="J234" s="448">
        <f t="shared" si="88"/>
        <v>274299</v>
      </c>
      <c r="K234" s="448">
        <f t="shared" si="88"/>
        <v>297000</v>
      </c>
      <c r="L234" s="448">
        <f t="shared" si="88"/>
        <v>341000</v>
      </c>
      <c r="M234" s="448">
        <f t="shared" si="88"/>
        <v>127500</v>
      </c>
      <c r="N234" s="448">
        <f t="shared" si="88"/>
        <v>66200</v>
      </c>
      <c r="O234" s="448">
        <f t="shared" si="88"/>
        <v>40000</v>
      </c>
      <c r="P234" s="448">
        <f t="shared" si="88"/>
        <v>20000</v>
      </c>
      <c r="Q234" s="448">
        <f t="shared" si="88"/>
        <v>70000</v>
      </c>
      <c r="R234" s="448">
        <f t="shared" si="88"/>
        <v>30000</v>
      </c>
      <c r="S234" s="448">
        <f t="shared" si="88"/>
        <v>0</v>
      </c>
      <c r="T234" s="448">
        <f t="shared" si="88"/>
        <v>0</v>
      </c>
      <c r="U234" s="448">
        <f t="shared" si="88"/>
        <v>0</v>
      </c>
      <c r="V234" s="448">
        <f t="shared" si="88"/>
        <v>0</v>
      </c>
      <c r="W234" s="448">
        <f t="shared" si="88"/>
        <v>0</v>
      </c>
      <c r="X234" s="448">
        <f t="shared" si="88"/>
        <v>0</v>
      </c>
      <c r="Y234" s="448">
        <f t="shared" si="88"/>
        <v>0</v>
      </c>
      <c r="Z234" s="448">
        <f t="shared" si="88"/>
        <v>0</v>
      </c>
      <c r="AA234" s="448">
        <f t="shared" si="88"/>
        <v>0</v>
      </c>
      <c r="AB234" s="448">
        <f t="shared" si="88"/>
        <v>0</v>
      </c>
      <c r="AC234" s="448">
        <f t="shared" si="88"/>
        <v>0</v>
      </c>
      <c r="AD234" s="448">
        <f t="shared" si="88"/>
        <v>0</v>
      </c>
      <c r="AE234" s="448">
        <f t="shared" si="88"/>
        <v>0</v>
      </c>
      <c r="AF234" s="448">
        <f t="shared" si="88"/>
        <v>0</v>
      </c>
      <c r="AG234" s="448">
        <f t="shared" si="88"/>
        <v>0</v>
      </c>
      <c r="AH234" s="448">
        <f t="shared" si="88"/>
        <v>0</v>
      </c>
      <c r="AI234" s="448">
        <f t="shared" si="88"/>
        <v>0</v>
      </c>
      <c r="AJ234" s="448">
        <f t="shared" si="88"/>
        <v>0</v>
      </c>
      <c r="AK234" s="448">
        <f t="shared" si="88"/>
        <v>0</v>
      </c>
      <c r="AL234" s="449">
        <f t="shared" si="88"/>
        <v>0</v>
      </c>
      <c r="AM234" s="358"/>
    </row>
    <row r="235" spans="2:39" ht="15" hidden="1" outlineLevel="2">
      <c r="B235" s="413"/>
      <c r="C235" s="414"/>
      <c r="D235" s="423" t="s">
        <v>605</v>
      </c>
      <c r="E235" s="471">
        <f t="shared" ref="E235:AL235" si="89">+E19</f>
        <v>1625556.65</v>
      </c>
      <c r="F235" s="472">
        <f t="shared" si="89"/>
        <v>252913.34</v>
      </c>
      <c r="G235" s="472">
        <f t="shared" si="89"/>
        <v>2049970</v>
      </c>
      <c r="H235" s="473">
        <f t="shared" si="89"/>
        <v>1132047.95</v>
      </c>
      <c r="I235" s="456">
        <f t="shared" si="89"/>
        <v>1708398</v>
      </c>
      <c r="J235" s="457">
        <f t="shared" si="89"/>
        <v>1400000</v>
      </c>
      <c r="K235" s="457">
        <f t="shared" si="89"/>
        <v>1050000</v>
      </c>
      <c r="L235" s="457">
        <f t="shared" si="89"/>
        <v>850000</v>
      </c>
      <c r="M235" s="457">
        <f t="shared" si="89"/>
        <v>200000</v>
      </c>
      <c r="N235" s="457">
        <f t="shared" si="89"/>
        <v>0</v>
      </c>
      <c r="O235" s="457">
        <f t="shared" si="89"/>
        <v>0</v>
      </c>
      <c r="P235" s="457">
        <f t="shared" si="89"/>
        <v>0</v>
      </c>
      <c r="Q235" s="457">
        <f t="shared" si="89"/>
        <v>0</v>
      </c>
      <c r="R235" s="457">
        <f t="shared" si="89"/>
        <v>0</v>
      </c>
      <c r="S235" s="457">
        <f t="shared" si="89"/>
        <v>0</v>
      </c>
      <c r="T235" s="457">
        <f t="shared" si="89"/>
        <v>0</v>
      </c>
      <c r="U235" s="457">
        <f t="shared" si="89"/>
        <v>0</v>
      </c>
      <c r="V235" s="457">
        <f t="shared" si="89"/>
        <v>0</v>
      </c>
      <c r="W235" s="457">
        <f t="shared" si="89"/>
        <v>0</v>
      </c>
      <c r="X235" s="457">
        <f t="shared" si="89"/>
        <v>0</v>
      </c>
      <c r="Y235" s="457">
        <f t="shared" si="89"/>
        <v>0</v>
      </c>
      <c r="Z235" s="457">
        <f t="shared" si="89"/>
        <v>0</v>
      </c>
      <c r="AA235" s="457">
        <f t="shared" si="89"/>
        <v>0</v>
      </c>
      <c r="AB235" s="457">
        <f t="shared" si="89"/>
        <v>0</v>
      </c>
      <c r="AC235" s="457">
        <f t="shared" si="89"/>
        <v>0</v>
      </c>
      <c r="AD235" s="457">
        <f t="shared" si="89"/>
        <v>0</v>
      </c>
      <c r="AE235" s="457">
        <f t="shared" si="89"/>
        <v>0</v>
      </c>
      <c r="AF235" s="457">
        <f t="shared" si="89"/>
        <v>0</v>
      </c>
      <c r="AG235" s="457">
        <f t="shared" si="89"/>
        <v>0</v>
      </c>
      <c r="AH235" s="457">
        <f t="shared" si="89"/>
        <v>0</v>
      </c>
      <c r="AI235" s="457">
        <f t="shared" si="89"/>
        <v>0</v>
      </c>
      <c r="AJ235" s="457">
        <f t="shared" si="89"/>
        <v>0</v>
      </c>
      <c r="AK235" s="457">
        <f t="shared" si="89"/>
        <v>0</v>
      </c>
      <c r="AL235" s="458">
        <f t="shared" si="89"/>
        <v>0</v>
      </c>
      <c r="AM235" s="358"/>
    </row>
    <row r="236" spans="2:39" hidden="1" outlineLevel="2">
      <c r="B236" s="406"/>
      <c r="C236" s="407"/>
      <c r="D236" s="408" t="s">
        <v>230</v>
      </c>
      <c r="E236" s="465">
        <f t="shared" ref="E236:AL236" si="90">+E21</f>
        <v>18802683.050000001</v>
      </c>
      <c r="F236" s="466">
        <f t="shared" si="90"/>
        <v>24474004.48</v>
      </c>
      <c r="G236" s="466">
        <f t="shared" si="90"/>
        <v>23725361.149999999</v>
      </c>
      <c r="H236" s="467">
        <f t="shared" si="90"/>
        <v>19823836.719999999</v>
      </c>
      <c r="I236" s="441">
        <f t="shared" si="90"/>
        <v>19969883.640000001</v>
      </c>
      <c r="J236" s="442">
        <f t="shared" si="90"/>
        <v>18754843</v>
      </c>
      <c r="K236" s="442">
        <f t="shared" si="90"/>
        <v>19276406</v>
      </c>
      <c r="L236" s="442">
        <f t="shared" si="90"/>
        <v>20132959</v>
      </c>
      <c r="M236" s="442">
        <f t="shared" si="90"/>
        <v>20675739</v>
      </c>
      <c r="N236" s="442">
        <f t="shared" si="90"/>
        <v>21761379</v>
      </c>
      <c r="O236" s="442">
        <f t="shared" si="90"/>
        <v>22446415</v>
      </c>
      <c r="P236" s="442">
        <f t="shared" si="90"/>
        <v>25762285</v>
      </c>
      <c r="Q236" s="442">
        <f t="shared" si="90"/>
        <v>29024700</v>
      </c>
      <c r="R236" s="442">
        <f t="shared" si="90"/>
        <v>30635458</v>
      </c>
      <c r="S236" s="442">
        <f t="shared" si="90"/>
        <v>0</v>
      </c>
      <c r="T236" s="442">
        <f t="shared" si="90"/>
        <v>0</v>
      </c>
      <c r="U236" s="442">
        <f t="shared" si="90"/>
        <v>0</v>
      </c>
      <c r="V236" s="442">
        <f t="shared" si="90"/>
        <v>0</v>
      </c>
      <c r="W236" s="442">
        <f t="shared" si="90"/>
        <v>0</v>
      </c>
      <c r="X236" s="442">
        <f t="shared" si="90"/>
        <v>0</v>
      </c>
      <c r="Y236" s="442">
        <f t="shared" si="90"/>
        <v>0</v>
      </c>
      <c r="Z236" s="442">
        <f t="shared" si="90"/>
        <v>0</v>
      </c>
      <c r="AA236" s="442">
        <f t="shared" si="90"/>
        <v>0</v>
      </c>
      <c r="AB236" s="442">
        <f t="shared" si="90"/>
        <v>0</v>
      </c>
      <c r="AC236" s="442">
        <f t="shared" si="90"/>
        <v>0</v>
      </c>
      <c r="AD236" s="442">
        <f t="shared" si="90"/>
        <v>0</v>
      </c>
      <c r="AE236" s="442">
        <f t="shared" si="90"/>
        <v>0</v>
      </c>
      <c r="AF236" s="442">
        <f t="shared" si="90"/>
        <v>0</v>
      </c>
      <c r="AG236" s="442">
        <f t="shared" si="90"/>
        <v>0</v>
      </c>
      <c r="AH236" s="442">
        <f t="shared" si="90"/>
        <v>0</v>
      </c>
      <c r="AI236" s="442">
        <f t="shared" si="90"/>
        <v>0</v>
      </c>
      <c r="AJ236" s="442">
        <f t="shared" si="90"/>
        <v>0</v>
      </c>
      <c r="AK236" s="442">
        <f t="shared" si="90"/>
        <v>0</v>
      </c>
      <c r="AL236" s="443">
        <f t="shared" si="90"/>
        <v>0</v>
      </c>
      <c r="AM236" s="412"/>
    </row>
    <row r="237" spans="2:39" ht="24" hidden="1" outlineLevel="2">
      <c r="B237" s="413"/>
      <c r="C237" s="414"/>
      <c r="D237" s="427" t="s">
        <v>606</v>
      </c>
      <c r="E237" s="468">
        <f t="shared" ref="E237:AL237" si="91">+E21-E81-E84</f>
        <v>18802683.050000001</v>
      </c>
      <c r="F237" s="469">
        <f t="shared" si="91"/>
        <v>16807671.350000001</v>
      </c>
      <c r="G237" s="469">
        <f t="shared" si="91"/>
        <v>21411937.75</v>
      </c>
      <c r="H237" s="470">
        <f t="shared" si="91"/>
        <v>17816827.319999997</v>
      </c>
      <c r="I237" s="447">
        <f t="shared" si="91"/>
        <v>18474789.489999998</v>
      </c>
      <c r="J237" s="448">
        <f t="shared" si="91"/>
        <v>17962158</v>
      </c>
      <c r="K237" s="448">
        <f t="shared" si="91"/>
        <v>18838976</v>
      </c>
      <c r="L237" s="448">
        <f t="shared" si="91"/>
        <v>19122959</v>
      </c>
      <c r="M237" s="448">
        <f t="shared" si="91"/>
        <v>18880739</v>
      </c>
      <c r="N237" s="448">
        <f t="shared" si="91"/>
        <v>19413534</v>
      </c>
      <c r="O237" s="448">
        <f t="shared" si="91"/>
        <v>20196415</v>
      </c>
      <c r="P237" s="448">
        <f t="shared" si="91"/>
        <v>20888285</v>
      </c>
      <c r="Q237" s="448">
        <f t="shared" si="91"/>
        <v>20824700</v>
      </c>
      <c r="R237" s="448">
        <f t="shared" si="91"/>
        <v>21785458</v>
      </c>
      <c r="S237" s="448">
        <f t="shared" si="91"/>
        <v>0</v>
      </c>
      <c r="T237" s="448">
        <f t="shared" si="91"/>
        <v>0</v>
      </c>
      <c r="U237" s="448">
        <f t="shared" si="91"/>
        <v>0</v>
      </c>
      <c r="V237" s="448">
        <f t="shared" si="91"/>
        <v>0</v>
      </c>
      <c r="W237" s="448">
        <f t="shared" si="91"/>
        <v>0</v>
      </c>
      <c r="X237" s="448">
        <f t="shared" si="91"/>
        <v>0</v>
      </c>
      <c r="Y237" s="448">
        <f t="shared" si="91"/>
        <v>0</v>
      </c>
      <c r="Z237" s="448">
        <f t="shared" si="91"/>
        <v>0</v>
      </c>
      <c r="AA237" s="448">
        <f t="shared" si="91"/>
        <v>0</v>
      </c>
      <c r="AB237" s="448">
        <f t="shared" si="91"/>
        <v>0</v>
      </c>
      <c r="AC237" s="448">
        <f t="shared" si="91"/>
        <v>0</v>
      </c>
      <c r="AD237" s="448">
        <f t="shared" si="91"/>
        <v>0</v>
      </c>
      <c r="AE237" s="448">
        <f t="shared" si="91"/>
        <v>0</v>
      </c>
      <c r="AF237" s="448">
        <f t="shared" si="91"/>
        <v>0</v>
      </c>
      <c r="AG237" s="448">
        <f t="shared" si="91"/>
        <v>0</v>
      </c>
      <c r="AH237" s="448">
        <f t="shared" si="91"/>
        <v>0</v>
      </c>
      <c r="AI237" s="448">
        <f t="shared" si="91"/>
        <v>0</v>
      </c>
      <c r="AJ237" s="448">
        <f t="shared" si="91"/>
        <v>0</v>
      </c>
      <c r="AK237" s="448">
        <f t="shared" si="91"/>
        <v>0</v>
      </c>
      <c r="AL237" s="449">
        <f t="shared" si="91"/>
        <v>0</v>
      </c>
      <c r="AM237" s="358"/>
    </row>
    <row r="238" spans="2:39" hidden="1" outlineLevel="2">
      <c r="B238" s="406"/>
      <c r="C238" s="407"/>
      <c r="D238" s="428" t="s">
        <v>607</v>
      </c>
      <c r="E238" s="474">
        <f t="shared" ref="E238:AL238" si="92">+E22</f>
        <v>13267074.91</v>
      </c>
      <c r="F238" s="475">
        <f t="shared" si="92"/>
        <v>15684142.16</v>
      </c>
      <c r="G238" s="475">
        <f t="shared" si="92"/>
        <v>18080461.149999999</v>
      </c>
      <c r="H238" s="476">
        <f t="shared" si="92"/>
        <v>16022654.210000001</v>
      </c>
      <c r="I238" s="462">
        <f t="shared" si="92"/>
        <v>17241948.73</v>
      </c>
      <c r="J238" s="463">
        <f t="shared" si="92"/>
        <v>16713351</v>
      </c>
      <c r="K238" s="463">
        <f t="shared" si="92"/>
        <v>17068789</v>
      </c>
      <c r="L238" s="463">
        <f t="shared" si="92"/>
        <v>17360478</v>
      </c>
      <c r="M238" s="463">
        <f t="shared" si="92"/>
        <v>17780739</v>
      </c>
      <c r="N238" s="463">
        <f t="shared" si="92"/>
        <v>18154579</v>
      </c>
      <c r="O238" s="463">
        <f t="shared" si="92"/>
        <v>18526979</v>
      </c>
      <c r="P238" s="463">
        <f t="shared" si="92"/>
        <v>18915739</v>
      </c>
      <c r="Q238" s="463">
        <f t="shared" si="92"/>
        <v>19212276</v>
      </c>
      <c r="R238" s="463">
        <f t="shared" si="92"/>
        <v>19716788</v>
      </c>
      <c r="S238" s="463">
        <f t="shared" si="92"/>
        <v>0</v>
      </c>
      <c r="T238" s="463">
        <f t="shared" si="92"/>
        <v>0</v>
      </c>
      <c r="U238" s="463">
        <f t="shared" si="92"/>
        <v>0</v>
      </c>
      <c r="V238" s="463">
        <f t="shared" si="92"/>
        <v>0</v>
      </c>
      <c r="W238" s="463">
        <f t="shared" si="92"/>
        <v>0</v>
      </c>
      <c r="X238" s="463">
        <f t="shared" si="92"/>
        <v>0</v>
      </c>
      <c r="Y238" s="463">
        <f t="shared" si="92"/>
        <v>0</v>
      </c>
      <c r="Z238" s="463">
        <f t="shared" si="92"/>
        <v>0</v>
      </c>
      <c r="AA238" s="463">
        <f t="shared" si="92"/>
        <v>0</v>
      </c>
      <c r="AB238" s="463">
        <f t="shared" si="92"/>
        <v>0</v>
      </c>
      <c r="AC238" s="463">
        <f t="shared" si="92"/>
        <v>0</v>
      </c>
      <c r="AD238" s="463">
        <f t="shared" si="92"/>
        <v>0</v>
      </c>
      <c r="AE238" s="463">
        <f t="shared" si="92"/>
        <v>0</v>
      </c>
      <c r="AF238" s="463">
        <f t="shared" si="92"/>
        <v>0</v>
      </c>
      <c r="AG238" s="463">
        <f t="shared" si="92"/>
        <v>0</v>
      </c>
      <c r="AH238" s="463">
        <f t="shared" si="92"/>
        <v>0</v>
      </c>
      <c r="AI238" s="463">
        <f t="shared" si="92"/>
        <v>0</v>
      </c>
      <c r="AJ238" s="463">
        <f t="shared" si="92"/>
        <v>0</v>
      </c>
      <c r="AK238" s="463">
        <f t="shared" si="92"/>
        <v>0</v>
      </c>
      <c r="AL238" s="464">
        <f t="shared" si="92"/>
        <v>0</v>
      </c>
      <c r="AM238" s="412"/>
    </row>
    <row r="239" spans="2:39" ht="24" hidden="1" outlineLevel="2">
      <c r="B239" s="413"/>
      <c r="C239" s="414"/>
      <c r="D239" s="419" t="s">
        <v>608</v>
      </c>
      <c r="E239" s="468">
        <f t="shared" ref="E239:AL239" si="93">+E22-E81</f>
        <v>13267074.91</v>
      </c>
      <c r="F239" s="469">
        <f t="shared" si="93"/>
        <v>14912545.640000001</v>
      </c>
      <c r="G239" s="469">
        <f t="shared" si="93"/>
        <v>17449633.75</v>
      </c>
      <c r="H239" s="470">
        <f t="shared" si="93"/>
        <v>15393049</v>
      </c>
      <c r="I239" s="447">
        <f t="shared" si="93"/>
        <v>16554049.950000001</v>
      </c>
      <c r="J239" s="448">
        <f t="shared" si="93"/>
        <v>16426139</v>
      </c>
      <c r="K239" s="448">
        <f t="shared" si="93"/>
        <v>16958789</v>
      </c>
      <c r="L239" s="448">
        <f t="shared" si="93"/>
        <v>17250478</v>
      </c>
      <c r="M239" s="448">
        <f t="shared" si="93"/>
        <v>17720739</v>
      </c>
      <c r="N239" s="448">
        <f t="shared" si="93"/>
        <v>18094579</v>
      </c>
      <c r="O239" s="448">
        <f t="shared" si="93"/>
        <v>18526979</v>
      </c>
      <c r="P239" s="448">
        <f t="shared" si="93"/>
        <v>18915739</v>
      </c>
      <c r="Q239" s="448">
        <f t="shared" si="93"/>
        <v>19212276</v>
      </c>
      <c r="R239" s="448">
        <f t="shared" si="93"/>
        <v>19716788</v>
      </c>
      <c r="S239" s="448">
        <f t="shared" si="93"/>
        <v>0</v>
      </c>
      <c r="T239" s="448">
        <f t="shared" si="93"/>
        <v>0</v>
      </c>
      <c r="U239" s="448">
        <f t="shared" si="93"/>
        <v>0</v>
      </c>
      <c r="V239" s="448">
        <f t="shared" si="93"/>
        <v>0</v>
      </c>
      <c r="W239" s="448">
        <f t="shared" si="93"/>
        <v>0</v>
      </c>
      <c r="X239" s="448">
        <f t="shared" si="93"/>
        <v>0</v>
      </c>
      <c r="Y239" s="448">
        <f t="shared" si="93"/>
        <v>0</v>
      </c>
      <c r="Z239" s="448">
        <f t="shared" si="93"/>
        <v>0</v>
      </c>
      <c r="AA239" s="448">
        <f t="shared" si="93"/>
        <v>0</v>
      </c>
      <c r="AB239" s="448">
        <f t="shared" si="93"/>
        <v>0</v>
      </c>
      <c r="AC239" s="448">
        <f t="shared" si="93"/>
        <v>0</v>
      </c>
      <c r="AD239" s="448">
        <f t="shared" si="93"/>
        <v>0</v>
      </c>
      <c r="AE239" s="448">
        <f t="shared" si="93"/>
        <v>0</v>
      </c>
      <c r="AF239" s="448">
        <f t="shared" si="93"/>
        <v>0</v>
      </c>
      <c r="AG239" s="448">
        <f t="shared" si="93"/>
        <v>0</v>
      </c>
      <c r="AH239" s="448">
        <f t="shared" si="93"/>
        <v>0</v>
      </c>
      <c r="AI239" s="448">
        <f t="shared" si="93"/>
        <v>0</v>
      </c>
      <c r="AJ239" s="448">
        <f t="shared" si="93"/>
        <v>0</v>
      </c>
      <c r="AK239" s="448">
        <f t="shared" si="93"/>
        <v>0</v>
      </c>
      <c r="AL239" s="449">
        <f t="shared" si="93"/>
        <v>0</v>
      </c>
      <c r="AM239" s="358"/>
    </row>
    <row r="240" spans="2:39" ht="15" hidden="1" outlineLevel="2">
      <c r="B240" s="413"/>
      <c r="C240" s="414"/>
      <c r="D240" s="419" t="s">
        <v>609</v>
      </c>
      <c r="E240" s="468">
        <f>+E66</f>
        <v>5888275.54</v>
      </c>
      <c r="F240" s="469">
        <f>+F66</f>
        <v>6513898.96</v>
      </c>
      <c r="G240" s="469">
        <f>+G66</f>
        <v>6919615.9000000004</v>
      </c>
      <c r="H240" s="470">
        <f>+H66</f>
        <v>6622241.0899999999</v>
      </c>
      <c r="I240" s="447">
        <f>+I66</f>
        <v>6694426.4699999997</v>
      </c>
      <c r="J240" s="448">
        <f t="shared" ref="J240:AL240" si="94">+J66</f>
        <v>6515375</v>
      </c>
      <c r="K240" s="448">
        <f t="shared" si="94"/>
        <v>6590528</v>
      </c>
      <c r="L240" s="448">
        <f t="shared" si="94"/>
        <v>6657760</v>
      </c>
      <c r="M240" s="448">
        <f t="shared" si="94"/>
        <v>0</v>
      </c>
      <c r="N240" s="448">
        <f t="shared" si="94"/>
        <v>0</v>
      </c>
      <c r="O240" s="448">
        <f t="shared" si="94"/>
        <v>0</v>
      </c>
      <c r="P240" s="448">
        <f t="shared" si="94"/>
        <v>0</v>
      </c>
      <c r="Q240" s="448">
        <f t="shared" si="94"/>
        <v>0</v>
      </c>
      <c r="R240" s="448">
        <f t="shared" si="94"/>
        <v>0</v>
      </c>
      <c r="S240" s="448">
        <f t="shared" si="94"/>
        <v>0</v>
      </c>
      <c r="T240" s="448">
        <f t="shared" si="94"/>
        <v>0</v>
      </c>
      <c r="U240" s="448">
        <f t="shared" si="94"/>
        <v>0</v>
      </c>
      <c r="V240" s="448">
        <f t="shared" si="94"/>
        <v>0</v>
      </c>
      <c r="W240" s="448">
        <f t="shared" si="94"/>
        <v>0</v>
      </c>
      <c r="X240" s="448">
        <f t="shared" si="94"/>
        <v>0</v>
      </c>
      <c r="Y240" s="448">
        <f t="shared" si="94"/>
        <v>0</v>
      </c>
      <c r="Z240" s="448">
        <f t="shared" si="94"/>
        <v>0</v>
      </c>
      <c r="AA240" s="448">
        <f t="shared" si="94"/>
        <v>0</v>
      </c>
      <c r="AB240" s="448">
        <f t="shared" si="94"/>
        <v>0</v>
      </c>
      <c r="AC240" s="448">
        <f t="shared" si="94"/>
        <v>0</v>
      </c>
      <c r="AD240" s="448">
        <f t="shared" si="94"/>
        <v>0</v>
      </c>
      <c r="AE240" s="448">
        <f t="shared" si="94"/>
        <v>0</v>
      </c>
      <c r="AF240" s="448">
        <f t="shared" si="94"/>
        <v>0</v>
      </c>
      <c r="AG240" s="448">
        <f t="shared" si="94"/>
        <v>0</v>
      </c>
      <c r="AH240" s="448">
        <f t="shared" si="94"/>
        <v>0</v>
      </c>
      <c r="AI240" s="448">
        <f t="shared" si="94"/>
        <v>0</v>
      </c>
      <c r="AJ240" s="448">
        <f t="shared" si="94"/>
        <v>0</v>
      </c>
      <c r="AK240" s="448">
        <f t="shared" si="94"/>
        <v>0</v>
      </c>
      <c r="AL240" s="449">
        <f t="shared" si="94"/>
        <v>0</v>
      </c>
      <c r="AM240" s="358"/>
    </row>
    <row r="241" spans="2:39" ht="36" hidden="1" outlineLevel="2">
      <c r="B241" s="413"/>
      <c r="C241" s="414"/>
      <c r="D241" s="423" t="s">
        <v>610</v>
      </c>
      <c r="E241" s="471">
        <f t="shared" ref="E241:AL241" si="95">+E22-E23-E26-E66-E67</f>
        <v>6672075.0300000003</v>
      </c>
      <c r="F241" s="472">
        <f t="shared" si="95"/>
        <v>5320156.9400000004</v>
      </c>
      <c r="G241" s="472">
        <f t="shared" si="95"/>
        <v>7018135.2499999981</v>
      </c>
      <c r="H241" s="473">
        <f t="shared" si="95"/>
        <v>5682728.8200000022</v>
      </c>
      <c r="I241" s="456">
        <f t="shared" si="95"/>
        <v>6730085.2600000016</v>
      </c>
      <c r="J241" s="457">
        <f t="shared" si="95"/>
        <v>6473478</v>
      </c>
      <c r="K241" s="457">
        <f t="shared" si="95"/>
        <v>6832152</v>
      </c>
      <c r="L241" s="457">
        <f t="shared" si="95"/>
        <v>7136535</v>
      </c>
      <c r="M241" s="457">
        <f t="shared" si="95"/>
        <v>17369469</v>
      </c>
      <c r="N241" s="457">
        <f t="shared" si="95"/>
        <v>17867781</v>
      </c>
      <c r="O241" s="457">
        <f t="shared" si="95"/>
        <v>18352956</v>
      </c>
      <c r="P241" s="457">
        <f t="shared" si="95"/>
        <v>18849073</v>
      </c>
      <c r="Q241" s="457">
        <f t="shared" si="95"/>
        <v>19193036</v>
      </c>
      <c r="R241" s="457">
        <f t="shared" si="95"/>
        <v>19709018</v>
      </c>
      <c r="S241" s="457">
        <f t="shared" si="95"/>
        <v>0</v>
      </c>
      <c r="T241" s="457">
        <f t="shared" si="95"/>
        <v>0</v>
      </c>
      <c r="U241" s="457">
        <f t="shared" si="95"/>
        <v>0</v>
      </c>
      <c r="V241" s="457">
        <f t="shared" si="95"/>
        <v>0</v>
      </c>
      <c r="W241" s="457">
        <f t="shared" si="95"/>
        <v>0</v>
      </c>
      <c r="X241" s="457">
        <f t="shared" si="95"/>
        <v>0</v>
      </c>
      <c r="Y241" s="457">
        <f t="shared" si="95"/>
        <v>0</v>
      </c>
      <c r="Z241" s="457">
        <f t="shared" si="95"/>
        <v>0</v>
      </c>
      <c r="AA241" s="457">
        <f t="shared" si="95"/>
        <v>0</v>
      </c>
      <c r="AB241" s="457">
        <f t="shared" si="95"/>
        <v>0</v>
      </c>
      <c r="AC241" s="457">
        <f t="shared" si="95"/>
        <v>0</v>
      </c>
      <c r="AD241" s="457">
        <f t="shared" si="95"/>
        <v>0</v>
      </c>
      <c r="AE241" s="457">
        <f t="shared" si="95"/>
        <v>0</v>
      </c>
      <c r="AF241" s="457">
        <f t="shared" si="95"/>
        <v>0</v>
      </c>
      <c r="AG241" s="457">
        <f t="shared" si="95"/>
        <v>0</v>
      </c>
      <c r="AH241" s="457">
        <f t="shared" si="95"/>
        <v>0</v>
      </c>
      <c r="AI241" s="457">
        <f t="shared" si="95"/>
        <v>0</v>
      </c>
      <c r="AJ241" s="457">
        <f t="shared" si="95"/>
        <v>0</v>
      </c>
      <c r="AK241" s="457">
        <f t="shared" si="95"/>
        <v>0</v>
      </c>
      <c r="AL241" s="458">
        <f t="shared" si="95"/>
        <v>0</v>
      </c>
      <c r="AM241" s="358"/>
    </row>
    <row r="242" spans="2:39" outlineLevel="2">
      <c r="D242" s="477"/>
      <c r="E242" s="478"/>
      <c r="F242" s="478"/>
      <c r="G242" s="478"/>
      <c r="H242" s="478"/>
      <c r="I242" s="479"/>
      <c r="J242" s="479"/>
      <c r="K242" s="479"/>
      <c r="L242" s="479"/>
      <c r="M242" s="479"/>
      <c r="N242" s="479"/>
      <c r="O242" s="479"/>
      <c r="P242" s="479"/>
      <c r="Q242" s="479"/>
      <c r="R242" s="479"/>
      <c r="S242" s="479"/>
      <c r="T242" s="479"/>
      <c r="U242" s="479"/>
      <c r="V242" s="479"/>
      <c r="W242" s="479"/>
      <c r="X242" s="479"/>
      <c r="Y242" s="479"/>
      <c r="Z242" s="479"/>
      <c r="AA242" s="479"/>
      <c r="AB242" s="479"/>
      <c r="AC242" s="479"/>
      <c r="AD242" s="479"/>
      <c r="AE242" s="479"/>
      <c r="AF242" s="479"/>
      <c r="AG242" s="479"/>
      <c r="AH242" s="479"/>
      <c r="AI242" s="479"/>
      <c r="AJ242" s="479"/>
      <c r="AK242" s="479"/>
      <c r="AL242" s="479"/>
    </row>
  </sheetData>
  <sheetProtection formatCells="0" formatColumns="0" formatRows="0" insertColumns="0" deleteColumns="0"/>
  <autoFilter ref="A9:A110"/>
  <mergeCells count="3">
    <mergeCell ref="E8:F8"/>
    <mergeCell ref="B6:R6"/>
    <mergeCell ref="L2:R2"/>
  </mergeCells>
  <conditionalFormatting sqref="I61:AL62">
    <cfRule type="expression" dxfId="17" priority="18" stopIfTrue="1">
      <formula>LEFT(I61,3)="Nie"</formula>
    </cfRule>
  </conditionalFormatting>
  <conditionalFormatting sqref="I204:AL215">
    <cfRule type="cellIs" dxfId="16" priority="15" stopIfTrue="1" operator="notBetween">
      <formula>-$D$203</formula>
      <formula>$D$203</formula>
    </cfRule>
    <cfRule type="cellIs" dxfId="15" priority="16" stopIfTrue="1" operator="notBetween">
      <formula>-$D$202</formula>
      <formula>$D$202</formula>
    </cfRule>
    <cfRule type="cellIs" dxfId="14" priority="17" stopIfTrue="1" operator="notBetween">
      <formula>-$D$201</formula>
      <formula>$D$201</formula>
    </cfRule>
  </conditionalFormatting>
  <conditionalFormatting sqref="I129:AL129">
    <cfRule type="cellIs" dxfId="13" priority="14" stopIfTrue="1" operator="between">
      <formula>0</formula>
      <formula>1000000000000</formula>
    </cfRule>
  </conditionalFormatting>
  <conditionalFormatting sqref="I130:AL132">
    <cfRule type="cellIs" dxfId="12" priority="13" stopIfTrue="1" operator="between">
      <formula>-1000000000000</formula>
      <formula>1000000000000</formula>
    </cfRule>
  </conditionalFormatting>
  <conditionalFormatting sqref="I127:AL128">
    <cfRule type="cellIs" dxfId="11" priority="12" stopIfTrue="1" operator="between">
      <formula>-1000000000000</formula>
      <formula>1000000000000</formula>
    </cfRule>
  </conditionalFormatting>
  <conditionalFormatting sqref="I133:AL141 I143:AL150 I155:AL157 I163:AL182 I159:AL161">
    <cfRule type="cellIs" dxfId="10" priority="11" stopIfTrue="1" operator="equal">
      <formula>"BŁĄD"</formula>
    </cfRule>
  </conditionalFormatting>
  <conditionalFormatting sqref="I196:AL199">
    <cfRule type="cellIs" dxfId="9" priority="8" stopIfTrue="1" operator="lessThan">
      <formula>$D$193</formula>
    </cfRule>
    <cfRule type="cellIs" dxfId="8" priority="9" stopIfTrue="1" operator="lessThan">
      <formula>$D$194</formula>
    </cfRule>
    <cfRule type="cellIs" dxfId="7" priority="10" stopIfTrue="1" operator="lessThan">
      <formula>$D$195</formula>
    </cfRule>
  </conditionalFormatting>
  <conditionalFormatting sqref="I142:AL142">
    <cfRule type="cellIs" dxfId="6" priority="7" stopIfTrue="1" operator="equal">
      <formula>"BŁĄD"</formula>
    </cfRule>
  </conditionalFormatting>
  <conditionalFormatting sqref="I151:AL151">
    <cfRule type="cellIs" dxfId="5" priority="6" stopIfTrue="1" operator="equal">
      <formula>"BŁĄD"</formula>
    </cfRule>
  </conditionalFormatting>
  <conditionalFormatting sqref="I152:AL152">
    <cfRule type="cellIs" dxfId="4" priority="5" stopIfTrue="1" operator="equal">
      <formula>"BŁĄD"</formula>
    </cfRule>
  </conditionalFormatting>
  <conditionalFormatting sqref="I153:AL153">
    <cfRule type="cellIs" dxfId="3" priority="4" stopIfTrue="1" operator="equal">
      <formula>"BŁĄD"</formula>
    </cfRule>
  </conditionalFormatting>
  <conditionalFormatting sqref="I154:AL154">
    <cfRule type="cellIs" dxfId="2" priority="3" stopIfTrue="1" operator="equal">
      <formula>"BŁĄD"</formula>
    </cfRule>
  </conditionalFormatting>
  <conditionalFormatting sqref="I162:AL162">
    <cfRule type="cellIs" dxfId="1" priority="2" stopIfTrue="1" operator="equal">
      <formula>"BŁĄD"</formula>
    </cfRule>
  </conditionalFormatting>
  <conditionalFormatting sqref="I158:AL158">
    <cfRule type="cellIs" dxfId="0" priority="1" stopIfTrue="1" operator="equal">
      <formula>"BŁĄD"</formula>
    </cfRule>
  </conditionalFormatting>
  <pageMargins left="0.22" right="0.17" top="0.47244094488188981" bottom="0.47244094488188981" header="0.31496062992125984" footer="0.31496062992125984"/>
  <pageSetup paperSize="9" scale="65" orientation="landscape" blackAndWhite="1" horizontalDpi="4294967293" verticalDpi="4294967293" r:id="rId1"/>
  <headerFooter>
    <oddFooter>&amp;L&amp;"Czcionka tekstu podstawowego,Kursywa"&amp;8Wersja szablonu wydruku: 2014-01-23a&amp;C&amp;8Strona &amp;P z &amp;N&amp;R&amp;8Wydruk z dn.: &amp;D - &amp;T</oddFooter>
  </headerFooter>
  <rowBreaks count="2" manualBreakCount="2">
    <brk id="47" min="1" max="17" man="1"/>
    <brk id="77" min="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U119"/>
  <sheetViews>
    <sheetView tabSelected="1" zoomScaleSheetLayoutView="61" workbookViewId="0">
      <pane ySplit="6" topLeftCell="A16" activePane="bottomLeft" state="frozen"/>
      <selection pane="bottomLeft" activeCell="B1" sqref="B1"/>
    </sheetView>
  </sheetViews>
  <sheetFormatPr defaultColWidth="9.140625" defaultRowHeight="14.25"/>
  <cols>
    <col min="1" max="1" width="6.7109375" style="1" customWidth="1"/>
    <col min="2" max="2" width="24.7109375" style="1" customWidth="1"/>
    <col min="3" max="3" width="13.5703125" style="1" customWidth="1"/>
    <col min="4" max="4" width="5.5703125" style="1" customWidth="1"/>
    <col min="5" max="5" width="6.140625" style="1" customWidth="1"/>
    <col min="6" max="6" width="12.28515625" style="1" customWidth="1"/>
    <col min="7" max="7" width="12.28515625" style="1" hidden="1" customWidth="1"/>
    <col min="8" max="8" width="11" style="1" hidden="1" customWidth="1"/>
    <col min="9" max="9" width="11.5703125" style="1" customWidth="1"/>
    <col min="10" max="10" width="11.140625" style="1" customWidth="1"/>
    <col min="11" max="16" width="11.28515625" style="1" customWidth="1"/>
    <col min="17" max="17" width="11" style="1" customWidth="1"/>
    <col min="18" max="18" width="11.7109375" style="1" customWidth="1"/>
    <col min="19" max="19" width="12" style="1" customWidth="1"/>
    <col min="20" max="20" width="12.5703125" style="1" bestFit="1" customWidth="1"/>
    <col min="21" max="256" width="9.140625" style="1"/>
    <col min="257" max="257" width="6.7109375" style="1" customWidth="1"/>
    <col min="258" max="258" width="25.140625" style="1" customWidth="1"/>
    <col min="259" max="259" width="16.42578125" style="1" customWidth="1"/>
    <col min="260" max="261" width="6.5703125" style="1" customWidth="1"/>
    <col min="262" max="262" width="13.42578125" style="1" customWidth="1"/>
    <col min="263" max="263" width="0" style="1" hidden="1" customWidth="1"/>
    <col min="264" max="264" width="11.5703125" style="1" customWidth="1"/>
    <col min="265" max="265" width="11.28515625" style="1" customWidth="1"/>
    <col min="266" max="266" width="11.140625" style="1" customWidth="1"/>
    <col min="267" max="272" width="11.28515625" style="1" customWidth="1"/>
    <col min="273" max="273" width="10.85546875" style="1" customWidth="1"/>
    <col min="274" max="274" width="11.28515625" style="1" customWidth="1"/>
    <col min="275" max="275" width="13" style="1" customWidth="1"/>
    <col min="276" max="512" width="9.140625" style="1"/>
    <col min="513" max="513" width="6.7109375" style="1" customWidth="1"/>
    <col min="514" max="514" width="25.140625" style="1" customWidth="1"/>
    <col min="515" max="515" width="16.42578125" style="1" customWidth="1"/>
    <col min="516" max="517" width="6.5703125" style="1" customWidth="1"/>
    <col min="518" max="518" width="13.42578125" style="1" customWidth="1"/>
    <col min="519" max="519" width="0" style="1" hidden="1" customWidth="1"/>
    <col min="520" max="520" width="11.5703125" style="1" customWidth="1"/>
    <col min="521" max="521" width="11.28515625" style="1" customWidth="1"/>
    <col min="522" max="522" width="11.140625" style="1" customWidth="1"/>
    <col min="523" max="528" width="11.28515625" style="1" customWidth="1"/>
    <col min="529" max="529" width="10.85546875" style="1" customWidth="1"/>
    <col min="530" max="530" width="11.28515625" style="1" customWidth="1"/>
    <col min="531" max="531" width="13" style="1" customWidth="1"/>
    <col min="532" max="768" width="9.140625" style="1"/>
    <col min="769" max="769" width="6.7109375" style="1" customWidth="1"/>
    <col min="770" max="770" width="25.140625" style="1" customWidth="1"/>
    <col min="771" max="771" width="16.42578125" style="1" customWidth="1"/>
    <col min="772" max="773" width="6.5703125" style="1" customWidth="1"/>
    <col min="774" max="774" width="13.42578125" style="1" customWidth="1"/>
    <col min="775" max="775" width="0" style="1" hidden="1" customWidth="1"/>
    <col min="776" max="776" width="11.5703125" style="1" customWidth="1"/>
    <col min="777" max="777" width="11.28515625" style="1" customWidth="1"/>
    <col min="778" max="778" width="11.140625" style="1" customWidth="1"/>
    <col min="779" max="784" width="11.28515625" style="1" customWidth="1"/>
    <col min="785" max="785" width="10.85546875" style="1" customWidth="1"/>
    <col min="786" max="786" width="11.28515625" style="1" customWidth="1"/>
    <col min="787" max="787" width="13" style="1" customWidth="1"/>
    <col min="788" max="1024" width="9.140625" style="1"/>
    <col min="1025" max="1025" width="6.7109375" style="1" customWidth="1"/>
    <col min="1026" max="1026" width="25.140625" style="1" customWidth="1"/>
    <col min="1027" max="1027" width="16.42578125" style="1" customWidth="1"/>
    <col min="1028" max="1029" width="6.5703125" style="1" customWidth="1"/>
    <col min="1030" max="1030" width="13.42578125" style="1" customWidth="1"/>
    <col min="1031" max="1031" width="0" style="1" hidden="1" customWidth="1"/>
    <col min="1032" max="1032" width="11.5703125" style="1" customWidth="1"/>
    <col min="1033" max="1033" width="11.28515625" style="1" customWidth="1"/>
    <col min="1034" max="1034" width="11.140625" style="1" customWidth="1"/>
    <col min="1035" max="1040" width="11.28515625" style="1" customWidth="1"/>
    <col min="1041" max="1041" width="10.85546875" style="1" customWidth="1"/>
    <col min="1042" max="1042" width="11.28515625" style="1" customWidth="1"/>
    <col min="1043" max="1043" width="13" style="1" customWidth="1"/>
    <col min="1044" max="1280" width="9.140625" style="1"/>
    <col min="1281" max="1281" width="6.7109375" style="1" customWidth="1"/>
    <col min="1282" max="1282" width="25.140625" style="1" customWidth="1"/>
    <col min="1283" max="1283" width="16.42578125" style="1" customWidth="1"/>
    <col min="1284" max="1285" width="6.5703125" style="1" customWidth="1"/>
    <col min="1286" max="1286" width="13.42578125" style="1" customWidth="1"/>
    <col min="1287" max="1287" width="0" style="1" hidden="1" customWidth="1"/>
    <col min="1288" max="1288" width="11.5703125" style="1" customWidth="1"/>
    <col min="1289" max="1289" width="11.28515625" style="1" customWidth="1"/>
    <col min="1290" max="1290" width="11.140625" style="1" customWidth="1"/>
    <col min="1291" max="1296" width="11.28515625" style="1" customWidth="1"/>
    <col min="1297" max="1297" width="10.85546875" style="1" customWidth="1"/>
    <col min="1298" max="1298" width="11.28515625" style="1" customWidth="1"/>
    <col min="1299" max="1299" width="13" style="1" customWidth="1"/>
    <col min="1300" max="1536" width="9.140625" style="1"/>
    <col min="1537" max="1537" width="6.7109375" style="1" customWidth="1"/>
    <col min="1538" max="1538" width="25.140625" style="1" customWidth="1"/>
    <col min="1539" max="1539" width="16.42578125" style="1" customWidth="1"/>
    <col min="1540" max="1541" width="6.5703125" style="1" customWidth="1"/>
    <col min="1542" max="1542" width="13.42578125" style="1" customWidth="1"/>
    <col min="1543" max="1543" width="0" style="1" hidden="1" customWidth="1"/>
    <col min="1544" max="1544" width="11.5703125" style="1" customWidth="1"/>
    <col min="1545" max="1545" width="11.28515625" style="1" customWidth="1"/>
    <col min="1546" max="1546" width="11.140625" style="1" customWidth="1"/>
    <col min="1547" max="1552" width="11.28515625" style="1" customWidth="1"/>
    <col min="1553" max="1553" width="10.85546875" style="1" customWidth="1"/>
    <col min="1554" max="1554" width="11.28515625" style="1" customWidth="1"/>
    <col min="1555" max="1555" width="13" style="1" customWidth="1"/>
    <col min="1556" max="1792" width="9.140625" style="1"/>
    <col min="1793" max="1793" width="6.7109375" style="1" customWidth="1"/>
    <col min="1794" max="1794" width="25.140625" style="1" customWidth="1"/>
    <col min="1795" max="1795" width="16.42578125" style="1" customWidth="1"/>
    <col min="1796" max="1797" width="6.5703125" style="1" customWidth="1"/>
    <col min="1798" max="1798" width="13.42578125" style="1" customWidth="1"/>
    <col min="1799" max="1799" width="0" style="1" hidden="1" customWidth="1"/>
    <col min="1800" max="1800" width="11.5703125" style="1" customWidth="1"/>
    <col min="1801" max="1801" width="11.28515625" style="1" customWidth="1"/>
    <col min="1802" max="1802" width="11.140625" style="1" customWidth="1"/>
    <col min="1803" max="1808" width="11.28515625" style="1" customWidth="1"/>
    <col min="1809" max="1809" width="10.85546875" style="1" customWidth="1"/>
    <col min="1810" max="1810" width="11.28515625" style="1" customWidth="1"/>
    <col min="1811" max="1811" width="13" style="1" customWidth="1"/>
    <col min="1812" max="2048" width="9.140625" style="1"/>
    <col min="2049" max="2049" width="6.7109375" style="1" customWidth="1"/>
    <col min="2050" max="2050" width="25.140625" style="1" customWidth="1"/>
    <col min="2051" max="2051" width="16.42578125" style="1" customWidth="1"/>
    <col min="2052" max="2053" width="6.5703125" style="1" customWidth="1"/>
    <col min="2054" max="2054" width="13.42578125" style="1" customWidth="1"/>
    <col min="2055" max="2055" width="0" style="1" hidden="1" customWidth="1"/>
    <col min="2056" max="2056" width="11.5703125" style="1" customWidth="1"/>
    <col min="2057" max="2057" width="11.28515625" style="1" customWidth="1"/>
    <col min="2058" max="2058" width="11.140625" style="1" customWidth="1"/>
    <col min="2059" max="2064" width="11.28515625" style="1" customWidth="1"/>
    <col min="2065" max="2065" width="10.85546875" style="1" customWidth="1"/>
    <col min="2066" max="2066" width="11.28515625" style="1" customWidth="1"/>
    <col min="2067" max="2067" width="13" style="1" customWidth="1"/>
    <col min="2068" max="2304" width="9.140625" style="1"/>
    <col min="2305" max="2305" width="6.7109375" style="1" customWidth="1"/>
    <col min="2306" max="2306" width="25.140625" style="1" customWidth="1"/>
    <col min="2307" max="2307" width="16.42578125" style="1" customWidth="1"/>
    <col min="2308" max="2309" width="6.5703125" style="1" customWidth="1"/>
    <col min="2310" max="2310" width="13.42578125" style="1" customWidth="1"/>
    <col min="2311" max="2311" width="0" style="1" hidden="1" customWidth="1"/>
    <col min="2312" max="2312" width="11.5703125" style="1" customWidth="1"/>
    <col min="2313" max="2313" width="11.28515625" style="1" customWidth="1"/>
    <col min="2314" max="2314" width="11.140625" style="1" customWidth="1"/>
    <col min="2315" max="2320" width="11.28515625" style="1" customWidth="1"/>
    <col min="2321" max="2321" width="10.85546875" style="1" customWidth="1"/>
    <col min="2322" max="2322" width="11.28515625" style="1" customWidth="1"/>
    <col min="2323" max="2323" width="13" style="1" customWidth="1"/>
    <col min="2324" max="2560" width="9.140625" style="1"/>
    <col min="2561" max="2561" width="6.7109375" style="1" customWidth="1"/>
    <col min="2562" max="2562" width="25.140625" style="1" customWidth="1"/>
    <col min="2563" max="2563" width="16.42578125" style="1" customWidth="1"/>
    <col min="2564" max="2565" width="6.5703125" style="1" customWidth="1"/>
    <col min="2566" max="2566" width="13.42578125" style="1" customWidth="1"/>
    <col min="2567" max="2567" width="0" style="1" hidden="1" customWidth="1"/>
    <col min="2568" max="2568" width="11.5703125" style="1" customWidth="1"/>
    <col min="2569" max="2569" width="11.28515625" style="1" customWidth="1"/>
    <col min="2570" max="2570" width="11.140625" style="1" customWidth="1"/>
    <col min="2571" max="2576" width="11.28515625" style="1" customWidth="1"/>
    <col min="2577" max="2577" width="10.85546875" style="1" customWidth="1"/>
    <col min="2578" max="2578" width="11.28515625" style="1" customWidth="1"/>
    <col min="2579" max="2579" width="13" style="1" customWidth="1"/>
    <col min="2580" max="2816" width="9.140625" style="1"/>
    <col min="2817" max="2817" width="6.7109375" style="1" customWidth="1"/>
    <col min="2818" max="2818" width="25.140625" style="1" customWidth="1"/>
    <col min="2819" max="2819" width="16.42578125" style="1" customWidth="1"/>
    <col min="2820" max="2821" width="6.5703125" style="1" customWidth="1"/>
    <col min="2822" max="2822" width="13.42578125" style="1" customWidth="1"/>
    <col min="2823" max="2823" width="0" style="1" hidden="1" customWidth="1"/>
    <col min="2824" max="2824" width="11.5703125" style="1" customWidth="1"/>
    <col min="2825" max="2825" width="11.28515625" style="1" customWidth="1"/>
    <col min="2826" max="2826" width="11.140625" style="1" customWidth="1"/>
    <col min="2827" max="2832" width="11.28515625" style="1" customWidth="1"/>
    <col min="2833" max="2833" width="10.85546875" style="1" customWidth="1"/>
    <col min="2834" max="2834" width="11.28515625" style="1" customWidth="1"/>
    <col min="2835" max="2835" width="13" style="1" customWidth="1"/>
    <col min="2836" max="3072" width="9.140625" style="1"/>
    <col min="3073" max="3073" width="6.7109375" style="1" customWidth="1"/>
    <col min="3074" max="3074" width="25.140625" style="1" customWidth="1"/>
    <col min="3075" max="3075" width="16.42578125" style="1" customWidth="1"/>
    <col min="3076" max="3077" width="6.5703125" style="1" customWidth="1"/>
    <col min="3078" max="3078" width="13.42578125" style="1" customWidth="1"/>
    <col min="3079" max="3079" width="0" style="1" hidden="1" customWidth="1"/>
    <col min="3080" max="3080" width="11.5703125" style="1" customWidth="1"/>
    <col min="3081" max="3081" width="11.28515625" style="1" customWidth="1"/>
    <col min="3082" max="3082" width="11.140625" style="1" customWidth="1"/>
    <col min="3083" max="3088" width="11.28515625" style="1" customWidth="1"/>
    <col min="3089" max="3089" width="10.85546875" style="1" customWidth="1"/>
    <col min="3090" max="3090" width="11.28515625" style="1" customWidth="1"/>
    <col min="3091" max="3091" width="13" style="1" customWidth="1"/>
    <col min="3092" max="3328" width="9.140625" style="1"/>
    <col min="3329" max="3329" width="6.7109375" style="1" customWidth="1"/>
    <col min="3330" max="3330" width="25.140625" style="1" customWidth="1"/>
    <col min="3331" max="3331" width="16.42578125" style="1" customWidth="1"/>
    <col min="3332" max="3333" width="6.5703125" style="1" customWidth="1"/>
    <col min="3334" max="3334" width="13.42578125" style="1" customWidth="1"/>
    <col min="3335" max="3335" width="0" style="1" hidden="1" customWidth="1"/>
    <col min="3336" max="3336" width="11.5703125" style="1" customWidth="1"/>
    <col min="3337" max="3337" width="11.28515625" style="1" customWidth="1"/>
    <col min="3338" max="3338" width="11.140625" style="1" customWidth="1"/>
    <col min="3339" max="3344" width="11.28515625" style="1" customWidth="1"/>
    <col min="3345" max="3345" width="10.85546875" style="1" customWidth="1"/>
    <col min="3346" max="3346" width="11.28515625" style="1" customWidth="1"/>
    <col min="3347" max="3347" width="13" style="1" customWidth="1"/>
    <col min="3348" max="3584" width="9.140625" style="1"/>
    <col min="3585" max="3585" width="6.7109375" style="1" customWidth="1"/>
    <col min="3586" max="3586" width="25.140625" style="1" customWidth="1"/>
    <col min="3587" max="3587" width="16.42578125" style="1" customWidth="1"/>
    <col min="3588" max="3589" width="6.5703125" style="1" customWidth="1"/>
    <col min="3590" max="3590" width="13.42578125" style="1" customWidth="1"/>
    <col min="3591" max="3591" width="0" style="1" hidden="1" customWidth="1"/>
    <col min="3592" max="3592" width="11.5703125" style="1" customWidth="1"/>
    <col min="3593" max="3593" width="11.28515625" style="1" customWidth="1"/>
    <col min="3594" max="3594" width="11.140625" style="1" customWidth="1"/>
    <col min="3595" max="3600" width="11.28515625" style="1" customWidth="1"/>
    <col min="3601" max="3601" width="10.85546875" style="1" customWidth="1"/>
    <col min="3602" max="3602" width="11.28515625" style="1" customWidth="1"/>
    <col min="3603" max="3603" width="13" style="1" customWidth="1"/>
    <col min="3604" max="3840" width="9.140625" style="1"/>
    <col min="3841" max="3841" width="6.7109375" style="1" customWidth="1"/>
    <col min="3842" max="3842" width="25.140625" style="1" customWidth="1"/>
    <col min="3843" max="3843" width="16.42578125" style="1" customWidth="1"/>
    <col min="3844" max="3845" width="6.5703125" style="1" customWidth="1"/>
    <col min="3846" max="3846" width="13.42578125" style="1" customWidth="1"/>
    <col min="3847" max="3847" width="0" style="1" hidden="1" customWidth="1"/>
    <col min="3848" max="3848" width="11.5703125" style="1" customWidth="1"/>
    <col min="3849" max="3849" width="11.28515625" style="1" customWidth="1"/>
    <col min="3850" max="3850" width="11.140625" style="1" customWidth="1"/>
    <col min="3851" max="3856" width="11.28515625" style="1" customWidth="1"/>
    <col min="3857" max="3857" width="10.85546875" style="1" customWidth="1"/>
    <col min="3858" max="3858" width="11.28515625" style="1" customWidth="1"/>
    <col min="3859" max="3859" width="13" style="1" customWidth="1"/>
    <col min="3860" max="4096" width="9.140625" style="1"/>
    <col min="4097" max="4097" width="6.7109375" style="1" customWidth="1"/>
    <col min="4098" max="4098" width="25.140625" style="1" customWidth="1"/>
    <col min="4099" max="4099" width="16.42578125" style="1" customWidth="1"/>
    <col min="4100" max="4101" width="6.5703125" style="1" customWidth="1"/>
    <col min="4102" max="4102" width="13.42578125" style="1" customWidth="1"/>
    <col min="4103" max="4103" width="0" style="1" hidden="1" customWidth="1"/>
    <col min="4104" max="4104" width="11.5703125" style="1" customWidth="1"/>
    <col min="4105" max="4105" width="11.28515625" style="1" customWidth="1"/>
    <col min="4106" max="4106" width="11.140625" style="1" customWidth="1"/>
    <col min="4107" max="4112" width="11.28515625" style="1" customWidth="1"/>
    <col min="4113" max="4113" width="10.85546875" style="1" customWidth="1"/>
    <col min="4114" max="4114" width="11.28515625" style="1" customWidth="1"/>
    <col min="4115" max="4115" width="13" style="1" customWidth="1"/>
    <col min="4116" max="4352" width="9.140625" style="1"/>
    <col min="4353" max="4353" width="6.7109375" style="1" customWidth="1"/>
    <col min="4354" max="4354" width="25.140625" style="1" customWidth="1"/>
    <col min="4355" max="4355" width="16.42578125" style="1" customWidth="1"/>
    <col min="4356" max="4357" width="6.5703125" style="1" customWidth="1"/>
    <col min="4358" max="4358" width="13.42578125" style="1" customWidth="1"/>
    <col min="4359" max="4359" width="0" style="1" hidden="1" customWidth="1"/>
    <col min="4360" max="4360" width="11.5703125" style="1" customWidth="1"/>
    <col min="4361" max="4361" width="11.28515625" style="1" customWidth="1"/>
    <col min="4362" max="4362" width="11.140625" style="1" customWidth="1"/>
    <col min="4363" max="4368" width="11.28515625" style="1" customWidth="1"/>
    <col min="4369" max="4369" width="10.85546875" style="1" customWidth="1"/>
    <col min="4370" max="4370" width="11.28515625" style="1" customWidth="1"/>
    <col min="4371" max="4371" width="13" style="1" customWidth="1"/>
    <col min="4372" max="4608" width="9.140625" style="1"/>
    <col min="4609" max="4609" width="6.7109375" style="1" customWidth="1"/>
    <col min="4610" max="4610" width="25.140625" style="1" customWidth="1"/>
    <col min="4611" max="4611" width="16.42578125" style="1" customWidth="1"/>
    <col min="4612" max="4613" width="6.5703125" style="1" customWidth="1"/>
    <col min="4614" max="4614" width="13.42578125" style="1" customWidth="1"/>
    <col min="4615" max="4615" width="0" style="1" hidden="1" customWidth="1"/>
    <col min="4616" max="4616" width="11.5703125" style="1" customWidth="1"/>
    <col min="4617" max="4617" width="11.28515625" style="1" customWidth="1"/>
    <col min="4618" max="4618" width="11.140625" style="1" customWidth="1"/>
    <col min="4619" max="4624" width="11.28515625" style="1" customWidth="1"/>
    <col min="4625" max="4625" width="10.85546875" style="1" customWidth="1"/>
    <col min="4626" max="4626" width="11.28515625" style="1" customWidth="1"/>
    <col min="4627" max="4627" width="13" style="1" customWidth="1"/>
    <col min="4628" max="4864" width="9.140625" style="1"/>
    <col min="4865" max="4865" width="6.7109375" style="1" customWidth="1"/>
    <col min="4866" max="4866" width="25.140625" style="1" customWidth="1"/>
    <col min="4867" max="4867" width="16.42578125" style="1" customWidth="1"/>
    <col min="4868" max="4869" width="6.5703125" style="1" customWidth="1"/>
    <col min="4870" max="4870" width="13.42578125" style="1" customWidth="1"/>
    <col min="4871" max="4871" width="0" style="1" hidden="1" customWidth="1"/>
    <col min="4872" max="4872" width="11.5703125" style="1" customWidth="1"/>
    <col min="4873" max="4873" width="11.28515625" style="1" customWidth="1"/>
    <col min="4874" max="4874" width="11.140625" style="1" customWidth="1"/>
    <col min="4875" max="4880" width="11.28515625" style="1" customWidth="1"/>
    <col min="4881" max="4881" width="10.85546875" style="1" customWidth="1"/>
    <col min="4882" max="4882" width="11.28515625" style="1" customWidth="1"/>
    <col min="4883" max="4883" width="13" style="1" customWidth="1"/>
    <col min="4884" max="5120" width="9.140625" style="1"/>
    <col min="5121" max="5121" width="6.7109375" style="1" customWidth="1"/>
    <col min="5122" max="5122" width="25.140625" style="1" customWidth="1"/>
    <col min="5123" max="5123" width="16.42578125" style="1" customWidth="1"/>
    <col min="5124" max="5125" width="6.5703125" style="1" customWidth="1"/>
    <col min="5126" max="5126" width="13.42578125" style="1" customWidth="1"/>
    <col min="5127" max="5127" width="0" style="1" hidden="1" customWidth="1"/>
    <col min="5128" max="5128" width="11.5703125" style="1" customWidth="1"/>
    <col min="5129" max="5129" width="11.28515625" style="1" customWidth="1"/>
    <col min="5130" max="5130" width="11.140625" style="1" customWidth="1"/>
    <col min="5131" max="5136" width="11.28515625" style="1" customWidth="1"/>
    <col min="5137" max="5137" width="10.85546875" style="1" customWidth="1"/>
    <col min="5138" max="5138" width="11.28515625" style="1" customWidth="1"/>
    <col min="5139" max="5139" width="13" style="1" customWidth="1"/>
    <col min="5140" max="5376" width="9.140625" style="1"/>
    <col min="5377" max="5377" width="6.7109375" style="1" customWidth="1"/>
    <col min="5378" max="5378" width="25.140625" style="1" customWidth="1"/>
    <col min="5379" max="5379" width="16.42578125" style="1" customWidth="1"/>
    <col min="5380" max="5381" width="6.5703125" style="1" customWidth="1"/>
    <col min="5382" max="5382" width="13.42578125" style="1" customWidth="1"/>
    <col min="5383" max="5383" width="0" style="1" hidden="1" customWidth="1"/>
    <col min="5384" max="5384" width="11.5703125" style="1" customWidth="1"/>
    <col min="5385" max="5385" width="11.28515625" style="1" customWidth="1"/>
    <col min="5386" max="5386" width="11.140625" style="1" customWidth="1"/>
    <col min="5387" max="5392" width="11.28515625" style="1" customWidth="1"/>
    <col min="5393" max="5393" width="10.85546875" style="1" customWidth="1"/>
    <col min="5394" max="5394" width="11.28515625" style="1" customWidth="1"/>
    <col min="5395" max="5395" width="13" style="1" customWidth="1"/>
    <col min="5396" max="5632" width="9.140625" style="1"/>
    <col min="5633" max="5633" width="6.7109375" style="1" customWidth="1"/>
    <col min="5634" max="5634" width="25.140625" style="1" customWidth="1"/>
    <col min="5635" max="5635" width="16.42578125" style="1" customWidth="1"/>
    <col min="5636" max="5637" width="6.5703125" style="1" customWidth="1"/>
    <col min="5638" max="5638" width="13.42578125" style="1" customWidth="1"/>
    <col min="5639" max="5639" width="0" style="1" hidden="1" customWidth="1"/>
    <col min="5640" max="5640" width="11.5703125" style="1" customWidth="1"/>
    <col min="5641" max="5641" width="11.28515625" style="1" customWidth="1"/>
    <col min="5642" max="5642" width="11.140625" style="1" customWidth="1"/>
    <col min="5643" max="5648" width="11.28515625" style="1" customWidth="1"/>
    <col min="5649" max="5649" width="10.85546875" style="1" customWidth="1"/>
    <col min="5650" max="5650" width="11.28515625" style="1" customWidth="1"/>
    <col min="5651" max="5651" width="13" style="1" customWidth="1"/>
    <col min="5652" max="5888" width="9.140625" style="1"/>
    <col min="5889" max="5889" width="6.7109375" style="1" customWidth="1"/>
    <col min="5890" max="5890" width="25.140625" style="1" customWidth="1"/>
    <col min="5891" max="5891" width="16.42578125" style="1" customWidth="1"/>
    <col min="5892" max="5893" width="6.5703125" style="1" customWidth="1"/>
    <col min="5894" max="5894" width="13.42578125" style="1" customWidth="1"/>
    <col min="5895" max="5895" width="0" style="1" hidden="1" customWidth="1"/>
    <col min="5896" max="5896" width="11.5703125" style="1" customWidth="1"/>
    <col min="5897" max="5897" width="11.28515625" style="1" customWidth="1"/>
    <col min="5898" max="5898" width="11.140625" style="1" customWidth="1"/>
    <col min="5899" max="5904" width="11.28515625" style="1" customWidth="1"/>
    <col min="5905" max="5905" width="10.85546875" style="1" customWidth="1"/>
    <col min="5906" max="5906" width="11.28515625" style="1" customWidth="1"/>
    <col min="5907" max="5907" width="13" style="1" customWidth="1"/>
    <col min="5908" max="6144" width="9.140625" style="1"/>
    <col min="6145" max="6145" width="6.7109375" style="1" customWidth="1"/>
    <col min="6146" max="6146" width="25.140625" style="1" customWidth="1"/>
    <col min="6147" max="6147" width="16.42578125" style="1" customWidth="1"/>
    <col min="6148" max="6149" width="6.5703125" style="1" customWidth="1"/>
    <col min="6150" max="6150" width="13.42578125" style="1" customWidth="1"/>
    <col min="6151" max="6151" width="0" style="1" hidden="1" customWidth="1"/>
    <col min="6152" max="6152" width="11.5703125" style="1" customWidth="1"/>
    <col min="6153" max="6153" width="11.28515625" style="1" customWidth="1"/>
    <col min="6154" max="6154" width="11.140625" style="1" customWidth="1"/>
    <col min="6155" max="6160" width="11.28515625" style="1" customWidth="1"/>
    <col min="6161" max="6161" width="10.85546875" style="1" customWidth="1"/>
    <col min="6162" max="6162" width="11.28515625" style="1" customWidth="1"/>
    <col min="6163" max="6163" width="13" style="1" customWidth="1"/>
    <col min="6164" max="6400" width="9.140625" style="1"/>
    <col min="6401" max="6401" width="6.7109375" style="1" customWidth="1"/>
    <col min="6402" max="6402" width="25.140625" style="1" customWidth="1"/>
    <col min="6403" max="6403" width="16.42578125" style="1" customWidth="1"/>
    <col min="6404" max="6405" width="6.5703125" style="1" customWidth="1"/>
    <col min="6406" max="6406" width="13.42578125" style="1" customWidth="1"/>
    <col min="6407" max="6407" width="0" style="1" hidden="1" customWidth="1"/>
    <col min="6408" max="6408" width="11.5703125" style="1" customWidth="1"/>
    <col min="6409" max="6409" width="11.28515625" style="1" customWidth="1"/>
    <col min="6410" max="6410" width="11.140625" style="1" customWidth="1"/>
    <col min="6411" max="6416" width="11.28515625" style="1" customWidth="1"/>
    <col min="6417" max="6417" width="10.85546875" style="1" customWidth="1"/>
    <col min="6418" max="6418" width="11.28515625" style="1" customWidth="1"/>
    <col min="6419" max="6419" width="13" style="1" customWidth="1"/>
    <col min="6420" max="6656" width="9.140625" style="1"/>
    <col min="6657" max="6657" width="6.7109375" style="1" customWidth="1"/>
    <col min="6658" max="6658" width="25.140625" style="1" customWidth="1"/>
    <col min="6659" max="6659" width="16.42578125" style="1" customWidth="1"/>
    <col min="6660" max="6661" width="6.5703125" style="1" customWidth="1"/>
    <col min="6662" max="6662" width="13.42578125" style="1" customWidth="1"/>
    <col min="6663" max="6663" width="0" style="1" hidden="1" customWidth="1"/>
    <col min="6664" max="6664" width="11.5703125" style="1" customWidth="1"/>
    <col min="6665" max="6665" width="11.28515625" style="1" customWidth="1"/>
    <col min="6666" max="6666" width="11.140625" style="1" customWidth="1"/>
    <col min="6667" max="6672" width="11.28515625" style="1" customWidth="1"/>
    <col min="6673" max="6673" width="10.85546875" style="1" customWidth="1"/>
    <col min="6674" max="6674" width="11.28515625" style="1" customWidth="1"/>
    <col min="6675" max="6675" width="13" style="1" customWidth="1"/>
    <col min="6676" max="6912" width="9.140625" style="1"/>
    <col min="6913" max="6913" width="6.7109375" style="1" customWidth="1"/>
    <col min="6914" max="6914" width="25.140625" style="1" customWidth="1"/>
    <col min="6915" max="6915" width="16.42578125" style="1" customWidth="1"/>
    <col min="6916" max="6917" width="6.5703125" style="1" customWidth="1"/>
    <col min="6918" max="6918" width="13.42578125" style="1" customWidth="1"/>
    <col min="6919" max="6919" width="0" style="1" hidden="1" customWidth="1"/>
    <col min="6920" max="6920" width="11.5703125" style="1" customWidth="1"/>
    <col min="6921" max="6921" width="11.28515625" style="1" customWidth="1"/>
    <col min="6922" max="6922" width="11.140625" style="1" customWidth="1"/>
    <col min="6923" max="6928" width="11.28515625" style="1" customWidth="1"/>
    <col min="6929" max="6929" width="10.85546875" style="1" customWidth="1"/>
    <col min="6930" max="6930" width="11.28515625" style="1" customWidth="1"/>
    <col min="6931" max="6931" width="13" style="1" customWidth="1"/>
    <col min="6932" max="7168" width="9.140625" style="1"/>
    <col min="7169" max="7169" width="6.7109375" style="1" customWidth="1"/>
    <col min="7170" max="7170" width="25.140625" style="1" customWidth="1"/>
    <col min="7171" max="7171" width="16.42578125" style="1" customWidth="1"/>
    <col min="7172" max="7173" width="6.5703125" style="1" customWidth="1"/>
    <col min="7174" max="7174" width="13.42578125" style="1" customWidth="1"/>
    <col min="7175" max="7175" width="0" style="1" hidden="1" customWidth="1"/>
    <col min="7176" max="7176" width="11.5703125" style="1" customWidth="1"/>
    <col min="7177" max="7177" width="11.28515625" style="1" customWidth="1"/>
    <col min="7178" max="7178" width="11.140625" style="1" customWidth="1"/>
    <col min="7179" max="7184" width="11.28515625" style="1" customWidth="1"/>
    <col min="7185" max="7185" width="10.85546875" style="1" customWidth="1"/>
    <col min="7186" max="7186" width="11.28515625" style="1" customWidth="1"/>
    <col min="7187" max="7187" width="13" style="1" customWidth="1"/>
    <col min="7188" max="7424" width="9.140625" style="1"/>
    <col min="7425" max="7425" width="6.7109375" style="1" customWidth="1"/>
    <col min="7426" max="7426" width="25.140625" style="1" customWidth="1"/>
    <col min="7427" max="7427" width="16.42578125" style="1" customWidth="1"/>
    <col min="7428" max="7429" width="6.5703125" style="1" customWidth="1"/>
    <col min="7430" max="7430" width="13.42578125" style="1" customWidth="1"/>
    <col min="7431" max="7431" width="0" style="1" hidden="1" customWidth="1"/>
    <col min="7432" max="7432" width="11.5703125" style="1" customWidth="1"/>
    <col min="7433" max="7433" width="11.28515625" style="1" customWidth="1"/>
    <col min="7434" max="7434" width="11.140625" style="1" customWidth="1"/>
    <col min="7435" max="7440" width="11.28515625" style="1" customWidth="1"/>
    <col min="7441" max="7441" width="10.85546875" style="1" customWidth="1"/>
    <col min="7442" max="7442" width="11.28515625" style="1" customWidth="1"/>
    <col min="7443" max="7443" width="13" style="1" customWidth="1"/>
    <col min="7444" max="7680" width="9.140625" style="1"/>
    <col min="7681" max="7681" width="6.7109375" style="1" customWidth="1"/>
    <col min="7682" max="7682" width="25.140625" style="1" customWidth="1"/>
    <col min="7683" max="7683" width="16.42578125" style="1" customWidth="1"/>
    <col min="7684" max="7685" width="6.5703125" style="1" customWidth="1"/>
    <col min="7686" max="7686" width="13.42578125" style="1" customWidth="1"/>
    <col min="7687" max="7687" width="0" style="1" hidden="1" customWidth="1"/>
    <col min="7688" max="7688" width="11.5703125" style="1" customWidth="1"/>
    <col min="7689" max="7689" width="11.28515625" style="1" customWidth="1"/>
    <col min="7690" max="7690" width="11.140625" style="1" customWidth="1"/>
    <col min="7691" max="7696" width="11.28515625" style="1" customWidth="1"/>
    <col min="7697" max="7697" width="10.85546875" style="1" customWidth="1"/>
    <col min="7698" max="7698" width="11.28515625" style="1" customWidth="1"/>
    <col min="7699" max="7699" width="13" style="1" customWidth="1"/>
    <col min="7700" max="7936" width="9.140625" style="1"/>
    <col min="7937" max="7937" width="6.7109375" style="1" customWidth="1"/>
    <col min="7938" max="7938" width="25.140625" style="1" customWidth="1"/>
    <col min="7939" max="7939" width="16.42578125" style="1" customWidth="1"/>
    <col min="7940" max="7941" width="6.5703125" style="1" customWidth="1"/>
    <col min="7942" max="7942" width="13.42578125" style="1" customWidth="1"/>
    <col min="7943" max="7943" width="0" style="1" hidden="1" customWidth="1"/>
    <col min="7944" max="7944" width="11.5703125" style="1" customWidth="1"/>
    <col min="7945" max="7945" width="11.28515625" style="1" customWidth="1"/>
    <col min="7946" max="7946" width="11.140625" style="1" customWidth="1"/>
    <col min="7947" max="7952" width="11.28515625" style="1" customWidth="1"/>
    <col min="7953" max="7953" width="10.85546875" style="1" customWidth="1"/>
    <col min="7954" max="7954" width="11.28515625" style="1" customWidth="1"/>
    <col min="7955" max="7955" width="13" style="1" customWidth="1"/>
    <col min="7956" max="8192" width="9.140625" style="1"/>
    <col min="8193" max="8193" width="6.7109375" style="1" customWidth="1"/>
    <col min="8194" max="8194" width="25.140625" style="1" customWidth="1"/>
    <col min="8195" max="8195" width="16.42578125" style="1" customWidth="1"/>
    <col min="8196" max="8197" width="6.5703125" style="1" customWidth="1"/>
    <col min="8198" max="8198" width="13.42578125" style="1" customWidth="1"/>
    <col min="8199" max="8199" width="0" style="1" hidden="1" customWidth="1"/>
    <col min="8200" max="8200" width="11.5703125" style="1" customWidth="1"/>
    <col min="8201" max="8201" width="11.28515625" style="1" customWidth="1"/>
    <col min="8202" max="8202" width="11.140625" style="1" customWidth="1"/>
    <col min="8203" max="8208" width="11.28515625" style="1" customWidth="1"/>
    <col min="8209" max="8209" width="10.85546875" style="1" customWidth="1"/>
    <col min="8210" max="8210" width="11.28515625" style="1" customWidth="1"/>
    <col min="8211" max="8211" width="13" style="1" customWidth="1"/>
    <col min="8212" max="8448" width="9.140625" style="1"/>
    <col min="8449" max="8449" width="6.7109375" style="1" customWidth="1"/>
    <col min="8450" max="8450" width="25.140625" style="1" customWidth="1"/>
    <col min="8451" max="8451" width="16.42578125" style="1" customWidth="1"/>
    <col min="8452" max="8453" width="6.5703125" style="1" customWidth="1"/>
    <col min="8454" max="8454" width="13.42578125" style="1" customWidth="1"/>
    <col min="8455" max="8455" width="0" style="1" hidden="1" customWidth="1"/>
    <col min="8456" max="8456" width="11.5703125" style="1" customWidth="1"/>
    <col min="8457" max="8457" width="11.28515625" style="1" customWidth="1"/>
    <col min="8458" max="8458" width="11.140625" style="1" customWidth="1"/>
    <col min="8459" max="8464" width="11.28515625" style="1" customWidth="1"/>
    <col min="8465" max="8465" width="10.85546875" style="1" customWidth="1"/>
    <col min="8466" max="8466" width="11.28515625" style="1" customWidth="1"/>
    <col min="8467" max="8467" width="13" style="1" customWidth="1"/>
    <col min="8468" max="8704" width="9.140625" style="1"/>
    <col min="8705" max="8705" width="6.7109375" style="1" customWidth="1"/>
    <col min="8706" max="8706" width="25.140625" style="1" customWidth="1"/>
    <col min="8707" max="8707" width="16.42578125" style="1" customWidth="1"/>
    <col min="8708" max="8709" width="6.5703125" style="1" customWidth="1"/>
    <col min="8710" max="8710" width="13.42578125" style="1" customWidth="1"/>
    <col min="8711" max="8711" width="0" style="1" hidden="1" customWidth="1"/>
    <col min="8712" max="8712" width="11.5703125" style="1" customWidth="1"/>
    <col min="8713" max="8713" width="11.28515625" style="1" customWidth="1"/>
    <col min="8714" max="8714" width="11.140625" style="1" customWidth="1"/>
    <col min="8715" max="8720" width="11.28515625" style="1" customWidth="1"/>
    <col min="8721" max="8721" width="10.85546875" style="1" customWidth="1"/>
    <col min="8722" max="8722" width="11.28515625" style="1" customWidth="1"/>
    <col min="8723" max="8723" width="13" style="1" customWidth="1"/>
    <col min="8724" max="8960" width="9.140625" style="1"/>
    <col min="8961" max="8961" width="6.7109375" style="1" customWidth="1"/>
    <col min="8962" max="8962" width="25.140625" style="1" customWidth="1"/>
    <col min="8963" max="8963" width="16.42578125" style="1" customWidth="1"/>
    <col min="8964" max="8965" width="6.5703125" style="1" customWidth="1"/>
    <col min="8966" max="8966" width="13.42578125" style="1" customWidth="1"/>
    <col min="8967" max="8967" width="0" style="1" hidden="1" customWidth="1"/>
    <col min="8968" max="8968" width="11.5703125" style="1" customWidth="1"/>
    <col min="8969" max="8969" width="11.28515625" style="1" customWidth="1"/>
    <col min="8970" max="8970" width="11.140625" style="1" customWidth="1"/>
    <col min="8971" max="8976" width="11.28515625" style="1" customWidth="1"/>
    <col min="8977" max="8977" width="10.85546875" style="1" customWidth="1"/>
    <col min="8978" max="8978" width="11.28515625" style="1" customWidth="1"/>
    <col min="8979" max="8979" width="13" style="1" customWidth="1"/>
    <col min="8980" max="9216" width="9.140625" style="1"/>
    <col min="9217" max="9217" width="6.7109375" style="1" customWidth="1"/>
    <col min="9218" max="9218" width="25.140625" style="1" customWidth="1"/>
    <col min="9219" max="9219" width="16.42578125" style="1" customWidth="1"/>
    <col min="9220" max="9221" width="6.5703125" style="1" customWidth="1"/>
    <col min="9222" max="9222" width="13.42578125" style="1" customWidth="1"/>
    <col min="9223" max="9223" width="0" style="1" hidden="1" customWidth="1"/>
    <col min="9224" max="9224" width="11.5703125" style="1" customWidth="1"/>
    <col min="9225" max="9225" width="11.28515625" style="1" customWidth="1"/>
    <col min="9226" max="9226" width="11.140625" style="1" customWidth="1"/>
    <col min="9227" max="9232" width="11.28515625" style="1" customWidth="1"/>
    <col min="9233" max="9233" width="10.85546875" style="1" customWidth="1"/>
    <col min="9234" max="9234" width="11.28515625" style="1" customWidth="1"/>
    <col min="9235" max="9235" width="13" style="1" customWidth="1"/>
    <col min="9236" max="9472" width="9.140625" style="1"/>
    <col min="9473" max="9473" width="6.7109375" style="1" customWidth="1"/>
    <col min="9474" max="9474" width="25.140625" style="1" customWidth="1"/>
    <col min="9475" max="9475" width="16.42578125" style="1" customWidth="1"/>
    <col min="9476" max="9477" width="6.5703125" style="1" customWidth="1"/>
    <col min="9478" max="9478" width="13.42578125" style="1" customWidth="1"/>
    <col min="9479" max="9479" width="0" style="1" hidden="1" customWidth="1"/>
    <col min="9480" max="9480" width="11.5703125" style="1" customWidth="1"/>
    <col min="9481" max="9481" width="11.28515625" style="1" customWidth="1"/>
    <col min="9482" max="9482" width="11.140625" style="1" customWidth="1"/>
    <col min="9483" max="9488" width="11.28515625" style="1" customWidth="1"/>
    <col min="9489" max="9489" width="10.85546875" style="1" customWidth="1"/>
    <col min="9490" max="9490" width="11.28515625" style="1" customWidth="1"/>
    <col min="9491" max="9491" width="13" style="1" customWidth="1"/>
    <col min="9492" max="9728" width="9.140625" style="1"/>
    <col min="9729" max="9729" width="6.7109375" style="1" customWidth="1"/>
    <col min="9730" max="9730" width="25.140625" style="1" customWidth="1"/>
    <col min="9731" max="9731" width="16.42578125" style="1" customWidth="1"/>
    <col min="9732" max="9733" width="6.5703125" style="1" customWidth="1"/>
    <col min="9734" max="9734" width="13.42578125" style="1" customWidth="1"/>
    <col min="9735" max="9735" width="0" style="1" hidden="1" customWidth="1"/>
    <col min="9736" max="9736" width="11.5703125" style="1" customWidth="1"/>
    <col min="9737" max="9737" width="11.28515625" style="1" customWidth="1"/>
    <col min="9738" max="9738" width="11.140625" style="1" customWidth="1"/>
    <col min="9739" max="9744" width="11.28515625" style="1" customWidth="1"/>
    <col min="9745" max="9745" width="10.85546875" style="1" customWidth="1"/>
    <col min="9746" max="9746" width="11.28515625" style="1" customWidth="1"/>
    <col min="9747" max="9747" width="13" style="1" customWidth="1"/>
    <col min="9748" max="9984" width="9.140625" style="1"/>
    <col min="9985" max="9985" width="6.7109375" style="1" customWidth="1"/>
    <col min="9986" max="9986" width="25.140625" style="1" customWidth="1"/>
    <col min="9987" max="9987" width="16.42578125" style="1" customWidth="1"/>
    <col min="9988" max="9989" width="6.5703125" style="1" customWidth="1"/>
    <col min="9990" max="9990" width="13.42578125" style="1" customWidth="1"/>
    <col min="9991" max="9991" width="0" style="1" hidden="1" customWidth="1"/>
    <col min="9992" max="9992" width="11.5703125" style="1" customWidth="1"/>
    <col min="9993" max="9993" width="11.28515625" style="1" customWidth="1"/>
    <col min="9994" max="9994" width="11.140625" style="1" customWidth="1"/>
    <col min="9995" max="10000" width="11.28515625" style="1" customWidth="1"/>
    <col min="10001" max="10001" width="10.85546875" style="1" customWidth="1"/>
    <col min="10002" max="10002" width="11.28515625" style="1" customWidth="1"/>
    <col min="10003" max="10003" width="13" style="1" customWidth="1"/>
    <col min="10004" max="10240" width="9.140625" style="1"/>
    <col min="10241" max="10241" width="6.7109375" style="1" customWidth="1"/>
    <col min="10242" max="10242" width="25.140625" style="1" customWidth="1"/>
    <col min="10243" max="10243" width="16.42578125" style="1" customWidth="1"/>
    <col min="10244" max="10245" width="6.5703125" style="1" customWidth="1"/>
    <col min="10246" max="10246" width="13.42578125" style="1" customWidth="1"/>
    <col min="10247" max="10247" width="0" style="1" hidden="1" customWidth="1"/>
    <col min="10248" max="10248" width="11.5703125" style="1" customWidth="1"/>
    <col min="10249" max="10249" width="11.28515625" style="1" customWidth="1"/>
    <col min="10250" max="10250" width="11.140625" style="1" customWidth="1"/>
    <col min="10251" max="10256" width="11.28515625" style="1" customWidth="1"/>
    <col min="10257" max="10257" width="10.85546875" style="1" customWidth="1"/>
    <col min="10258" max="10258" width="11.28515625" style="1" customWidth="1"/>
    <col min="10259" max="10259" width="13" style="1" customWidth="1"/>
    <col min="10260" max="10496" width="9.140625" style="1"/>
    <col min="10497" max="10497" width="6.7109375" style="1" customWidth="1"/>
    <col min="10498" max="10498" width="25.140625" style="1" customWidth="1"/>
    <col min="10499" max="10499" width="16.42578125" style="1" customWidth="1"/>
    <col min="10500" max="10501" width="6.5703125" style="1" customWidth="1"/>
    <col min="10502" max="10502" width="13.42578125" style="1" customWidth="1"/>
    <col min="10503" max="10503" width="0" style="1" hidden="1" customWidth="1"/>
    <col min="10504" max="10504" width="11.5703125" style="1" customWidth="1"/>
    <col min="10505" max="10505" width="11.28515625" style="1" customWidth="1"/>
    <col min="10506" max="10506" width="11.140625" style="1" customWidth="1"/>
    <col min="10507" max="10512" width="11.28515625" style="1" customWidth="1"/>
    <col min="10513" max="10513" width="10.85546875" style="1" customWidth="1"/>
    <col min="10514" max="10514" width="11.28515625" style="1" customWidth="1"/>
    <col min="10515" max="10515" width="13" style="1" customWidth="1"/>
    <col min="10516" max="10752" width="9.140625" style="1"/>
    <col min="10753" max="10753" width="6.7109375" style="1" customWidth="1"/>
    <col min="10754" max="10754" width="25.140625" style="1" customWidth="1"/>
    <col min="10755" max="10755" width="16.42578125" style="1" customWidth="1"/>
    <col min="10756" max="10757" width="6.5703125" style="1" customWidth="1"/>
    <col min="10758" max="10758" width="13.42578125" style="1" customWidth="1"/>
    <col min="10759" max="10759" width="0" style="1" hidden="1" customWidth="1"/>
    <col min="10760" max="10760" width="11.5703125" style="1" customWidth="1"/>
    <col min="10761" max="10761" width="11.28515625" style="1" customWidth="1"/>
    <col min="10762" max="10762" width="11.140625" style="1" customWidth="1"/>
    <col min="10763" max="10768" width="11.28515625" style="1" customWidth="1"/>
    <col min="10769" max="10769" width="10.85546875" style="1" customWidth="1"/>
    <col min="10770" max="10770" width="11.28515625" style="1" customWidth="1"/>
    <col min="10771" max="10771" width="13" style="1" customWidth="1"/>
    <col min="10772" max="11008" width="9.140625" style="1"/>
    <col min="11009" max="11009" width="6.7109375" style="1" customWidth="1"/>
    <col min="11010" max="11010" width="25.140625" style="1" customWidth="1"/>
    <col min="11011" max="11011" width="16.42578125" style="1" customWidth="1"/>
    <col min="11012" max="11013" width="6.5703125" style="1" customWidth="1"/>
    <col min="11014" max="11014" width="13.42578125" style="1" customWidth="1"/>
    <col min="11015" max="11015" width="0" style="1" hidden="1" customWidth="1"/>
    <col min="11016" max="11016" width="11.5703125" style="1" customWidth="1"/>
    <col min="11017" max="11017" width="11.28515625" style="1" customWidth="1"/>
    <col min="11018" max="11018" width="11.140625" style="1" customWidth="1"/>
    <col min="11019" max="11024" width="11.28515625" style="1" customWidth="1"/>
    <col min="11025" max="11025" width="10.85546875" style="1" customWidth="1"/>
    <col min="11026" max="11026" width="11.28515625" style="1" customWidth="1"/>
    <col min="11027" max="11027" width="13" style="1" customWidth="1"/>
    <col min="11028" max="11264" width="9.140625" style="1"/>
    <col min="11265" max="11265" width="6.7109375" style="1" customWidth="1"/>
    <col min="11266" max="11266" width="25.140625" style="1" customWidth="1"/>
    <col min="11267" max="11267" width="16.42578125" style="1" customWidth="1"/>
    <col min="11268" max="11269" width="6.5703125" style="1" customWidth="1"/>
    <col min="11270" max="11270" width="13.42578125" style="1" customWidth="1"/>
    <col min="11271" max="11271" width="0" style="1" hidden="1" customWidth="1"/>
    <col min="11272" max="11272" width="11.5703125" style="1" customWidth="1"/>
    <col min="11273" max="11273" width="11.28515625" style="1" customWidth="1"/>
    <col min="11274" max="11274" width="11.140625" style="1" customWidth="1"/>
    <col min="11275" max="11280" width="11.28515625" style="1" customWidth="1"/>
    <col min="11281" max="11281" width="10.85546875" style="1" customWidth="1"/>
    <col min="11282" max="11282" width="11.28515625" style="1" customWidth="1"/>
    <col min="11283" max="11283" width="13" style="1" customWidth="1"/>
    <col min="11284" max="11520" width="9.140625" style="1"/>
    <col min="11521" max="11521" width="6.7109375" style="1" customWidth="1"/>
    <col min="11522" max="11522" width="25.140625" style="1" customWidth="1"/>
    <col min="11523" max="11523" width="16.42578125" style="1" customWidth="1"/>
    <col min="11524" max="11525" width="6.5703125" style="1" customWidth="1"/>
    <col min="11526" max="11526" width="13.42578125" style="1" customWidth="1"/>
    <col min="11527" max="11527" width="0" style="1" hidden="1" customWidth="1"/>
    <col min="11528" max="11528" width="11.5703125" style="1" customWidth="1"/>
    <col min="11529" max="11529" width="11.28515625" style="1" customWidth="1"/>
    <col min="11530" max="11530" width="11.140625" style="1" customWidth="1"/>
    <col min="11531" max="11536" width="11.28515625" style="1" customWidth="1"/>
    <col min="11537" max="11537" width="10.85546875" style="1" customWidth="1"/>
    <col min="11538" max="11538" width="11.28515625" style="1" customWidth="1"/>
    <col min="11539" max="11539" width="13" style="1" customWidth="1"/>
    <col min="11540" max="11776" width="9.140625" style="1"/>
    <col min="11777" max="11777" width="6.7109375" style="1" customWidth="1"/>
    <col min="11778" max="11778" width="25.140625" style="1" customWidth="1"/>
    <col min="11779" max="11779" width="16.42578125" style="1" customWidth="1"/>
    <col min="11780" max="11781" width="6.5703125" style="1" customWidth="1"/>
    <col min="11782" max="11782" width="13.42578125" style="1" customWidth="1"/>
    <col min="11783" max="11783" width="0" style="1" hidden="1" customWidth="1"/>
    <col min="11784" max="11784" width="11.5703125" style="1" customWidth="1"/>
    <col min="11785" max="11785" width="11.28515625" style="1" customWidth="1"/>
    <col min="11786" max="11786" width="11.140625" style="1" customWidth="1"/>
    <col min="11787" max="11792" width="11.28515625" style="1" customWidth="1"/>
    <col min="11793" max="11793" width="10.85546875" style="1" customWidth="1"/>
    <col min="11794" max="11794" width="11.28515625" style="1" customWidth="1"/>
    <col min="11795" max="11795" width="13" style="1" customWidth="1"/>
    <col min="11796" max="12032" width="9.140625" style="1"/>
    <col min="12033" max="12033" width="6.7109375" style="1" customWidth="1"/>
    <col min="12034" max="12034" width="25.140625" style="1" customWidth="1"/>
    <col min="12035" max="12035" width="16.42578125" style="1" customWidth="1"/>
    <col min="12036" max="12037" width="6.5703125" style="1" customWidth="1"/>
    <col min="12038" max="12038" width="13.42578125" style="1" customWidth="1"/>
    <col min="12039" max="12039" width="0" style="1" hidden="1" customWidth="1"/>
    <col min="12040" max="12040" width="11.5703125" style="1" customWidth="1"/>
    <col min="12041" max="12041" width="11.28515625" style="1" customWidth="1"/>
    <col min="12042" max="12042" width="11.140625" style="1" customWidth="1"/>
    <col min="12043" max="12048" width="11.28515625" style="1" customWidth="1"/>
    <col min="12049" max="12049" width="10.85546875" style="1" customWidth="1"/>
    <col min="12050" max="12050" width="11.28515625" style="1" customWidth="1"/>
    <col min="12051" max="12051" width="13" style="1" customWidth="1"/>
    <col min="12052" max="12288" width="9.140625" style="1"/>
    <col min="12289" max="12289" width="6.7109375" style="1" customWidth="1"/>
    <col min="12290" max="12290" width="25.140625" style="1" customWidth="1"/>
    <col min="12291" max="12291" width="16.42578125" style="1" customWidth="1"/>
    <col min="12292" max="12293" width="6.5703125" style="1" customWidth="1"/>
    <col min="12294" max="12294" width="13.42578125" style="1" customWidth="1"/>
    <col min="12295" max="12295" width="0" style="1" hidden="1" customWidth="1"/>
    <col min="12296" max="12296" width="11.5703125" style="1" customWidth="1"/>
    <col min="12297" max="12297" width="11.28515625" style="1" customWidth="1"/>
    <col min="12298" max="12298" width="11.140625" style="1" customWidth="1"/>
    <col min="12299" max="12304" width="11.28515625" style="1" customWidth="1"/>
    <col min="12305" max="12305" width="10.85546875" style="1" customWidth="1"/>
    <col min="12306" max="12306" width="11.28515625" style="1" customWidth="1"/>
    <col min="12307" max="12307" width="13" style="1" customWidth="1"/>
    <col min="12308" max="12544" width="9.140625" style="1"/>
    <col min="12545" max="12545" width="6.7109375" style="1" customWidth="1"/>
    <col min="12546" max="12546" width="25.140625" style="1" customWidth="1"/>
    <col min="12547" max="12547" width="16.42578125" style="1" customWidth="1"/>
    <col min="12548" max="12549" width="6.5703125" style="1" customWidth="1"/>
    <col min="12550" max="12550" width="13.42578125" style="1" customWidth="1"/>
    <col min="12551" max="12551" width="0" style="1" hidden="1" customWidth="1"/>
    <col min="12552" max="12552" width="11.5703125" style="1" customWidth="1"/>
    <col min="12553" max="12553" width="11.28515625" style="1" customWidth="1"/>
    <col min="12554" max="12554" width="11.140625" style="1" customWidth="1"/>
    <col min="12555" max="12560" width="11.28515625" style="1" customWidth="1"/>
    <col min="12561" max="12561" width="10.85546875" style="1" customWidth="1"/>
    <col min="12562" max="12562" width="11.28515625" style="1" customWidth="1"/>
    <col min="12563" max="12563" width="13" style="1" customWidth="1"/>
    <col min="12564" max="12800" width="9.140625" style="1"/>
    <col min="12801" max="12801" width="6.7109375" style="1" customWidth="1"/>
    <col min="12802" max="12802" width="25.140625" style="1" customWidth="1"/>
    <col min="12803" max="12803" width="16.42578125" style="1" customWidth="1"/>
    <col min="12804" max="12805" width="6.5703125" style="1" customWidth="1"/>
    <col min="12806" max="12806" width="13.42578125" style="1" customWidth="1"/>
    <col min="12807" max="12807" width="0" style="1" hidden="1" customWidth="1"/>
    <col min="12808" max="12808" width="11.5703125" style="1" customWidth="1"/>
    <col min="12809" max="12809" width="11.28515625" style="1" customWidth="1"/>
    <col min="12810" max="12810" width="11.140625" style="1" customWidth="1"/>
    <col min="12811" max="12816" width="11.28515625" style="1" customWidth="1"/>
    <col min="12817" max="12817" width="10.85546875" style="1" customWidth="1"/>
    <col min="12818" max="12818" width="11.28515625" style="1" customWidth="1"/>
    <col min="12819" max="12819" width="13" style="1" customWidth="1"/>
    <col min="12820" max="13056" width="9.140625" style="1"/>
    <col min="13057" max="13057" width="6.7109375" style="1" customWidth="1"/>
    <col min="13058" max="13058" width="25.140625" style="1" customWidth="1"/>
    <col min="13059" max="13059" width="16.42578125" style="1" customWidth="1"/>
    <col min="13060" max="13061" width="6.5703125" style="1" customWidth="1"/>
    <col min="13062" max="13062" width="13.42578125" style="1" customWidth="1"/>
    <col min="13063" max="13063" width="0" style="1" hidden="1" customWidth="1"/>
    <col min="13064" max="13064" width="11.5703125" style="1" customWidth="1"/>
    <col min="13065" max="13065" width="11.28515625" style="1" customWidth="1"/>
    <col min="13066" max="13066" width="11.140625" style="1" customWidth="1"/>
    <col min="13067" max="13072" width="11.28515625" style="1" customWidth="1"/>
    <col min="13073" max="13073" width="10.85546875" style="1" customWidth="1"/>
    <col min="13074" max="13074" width="11.28515625" style="1" customWidth="1"/>
    <col min="13075" max="13075" width="13" style="1" customWidth="1"/>
    <col min="13076" max="13312" width="9.140625" style="1"/>
    <col min="13313" max="13313" width="6.7109375" style="1" customWidth="1"/>
    <col min="13314" max="13314" width="25.140625" style="1" customWidth="1"/>
    <col min="13315" max="13315" width="16.42578125" style="1" customWidth="1"/>
    <col min="13316" max="13317" width="6.5703125" style="1" customWidth="1"/>
    <col min="13318" max="13318" width="13.42578125" style="1" customWidth="1"/>
    <col min="13319" max="13319" width="0" style="1" hidden="1" customWidth="1"/>
    <col min="13320" max="13320" width="11.5703125" style="1" customWidth="1"/>
    <col min="13321" max="13321" width="11.28515625" style="1" customWidth="1"/>
    <col min="13322" max="13322" width="11.140625" style="1" customWidth="1"/>
    <col min="13323" max="13328" width="11.28515625" style="1" customWidth="1"/>
    <col min="13329" max="13329" width="10.85546875" style="1" customWidth="1"/>
    <col min="13330" max="13330" width="11.28515625" style="1" customWidth="1"/>
    <col min="13331" max="13331" width="13" style="1" customWidth="1"/>
    <col min="13332" max="13568" width="9.140625" style="1"/>
    <col min="13569" max="13569" width="6.7109375" style="1" customWidth="1"/>
    <col min="13570" max="13570" width="25.140625" style="1" customWidth="1"/>
    <col min="13571" max="13571" width="16.42578125" style="1" customWidth="1"/>
    <col min="13572" max="13573" width="6.5703125" style="1" customWidth="1"/>
    <col min="13574" max="13574" width="13.42578125" style="1" customWidth="1"/>
    <col min="13575" max="13575" width="0" style="1" hidden="1" customWidth="1"/>
    <col min="13576" max="13576" width="11.5703125" style="1" customWidth="1"/>
    <col min="13577" max="13577" width="11.28515625" style="1" customWidth="1"/>
    <col min="13578" max="13578" width="11.140625" style="1" customWidth="1"/>
    <col min="13579" max="13584" width="11.28515625" style="1" customWidth="1"/>
    <col min="13585" max="13585" width="10.85546875" style="1" customWidth="1"/>
    <col min="13586" max="13586" width="11.28515625" style="1" customWidth="1"/>
    <col min="13587" max="13587" width="13" style="1" customWidth="1"/>
    <col min="13588" max="13824" width="9.140625" style="1"/>
    <col min="13825" max="13825" width="6.7109375" style="1" customWidth="1"/>
    <col min="13826" max="13826" width="25.140625" style="1" customWidth="1"/>
    <col min="13827" max="13827" width="16.42578125" style="1" customWidth="1"/>
    <col min="13828" max="13829" width="6.5703125" style="1" customWidth="1"/>
    <col min="13830" max="13830" width="13.42578125" style="1" customWidth="1"/>
    <col min="13831" max="13831" width="0" style="1" hidden="1" customWidth="1"/>
    <col min="13832" max="13832" width="11.5703125" style="1" customWidth="1"/>
    <col min="13833" max="13833" width="11.28515625" style="1" customWidth="1"/>
    <col min="13834" max="13834" width="11.140625" style="1" customWidth="1"/>
    <col min="13835" max="13840" width="11.28515625" style="1" customWidth="1"/>
    <col min="13841" max="13841" width="10.85546875" style="1" customWidth="1"/>
    <col min="13842" max="13842" width="11.28515625" style="1" customWidth="1"/>
    <col min="13843" max="13843" width="13" style="1" customWidth="1"/>
    <col min="13844" max="14080" width="9.140625" style="1"/>
    <col min="14081" max="14081" width="6.7109375" style="1" customWidth="1"/>
    <col min="14082" max="14082" width="25.140625" style="1" customWidth="1"/>
    <col min="14083" max="14083" width="16.42578125" style="1" customWidth="1"/>
    <col min="14084" max="14085" width="6.5703125" style="1" customWidth="1"/>
    <col min="14086" max="14086" width="13.42578125" style="1" customWidth="1"/>
    <col min="14087" max="14087" width="0" style="1" hidden="1" customWidth="1"/>
    <col min="14088" max="14088" width="11.5703125" style="1" customWidth="1"/>
    <col min="14089" max="14089" width="11.28515625" style="1" customWidth="1"/>
    <col min="14090" max="14090" width="11.140625" style="1" customWidth="1"/>
    <col min="14091" max="14096" width="11.28515625" style="1" customWidth="1"/>
    <col min="14097" max="14097" width="10.85546875" style="1" customWidth="1"/>
    <col min="14098" max="14098" width="11.28515625" style="1" customWidth="1"/>
    <col min="14099" max="14099" width="13" style="1" customWidth="1"/>
    <col min="14100" max="14336" width="9.140625" style="1"/>
    <col min="14337" max="14337" width="6.7109375" style="1" customWidth="1"/>
    <col min="14338" max="14338" width="25.140625" style="1" customWidth="1"/>
    <col min="14339" max="14339" width="16.42578125" style="1" customWidth="1"/>
    <col min="14340" max="14341" width="6.5703125" style="1" customWidth="1"/>
    <col min="14342" max="14342" width="13.42578125" style="1" customWidth="1"/>
    <col min="14343" max="14343" width="0" style="1" hidden="1" customWidth="1"/>
    <col min="14344" max="14344" width="11.5703125" style="1" customWidth="1"/>
    <col min="14345" max="14345" width="11.28515625" style="1" customWidth="1"/>
    <col min="14346" max="14346" width="11.140625" style="1" customWidth="1"/>
    <col min="14347" max="14352" width="11.28515625" style="1" customWidth="1"/>
    <col min="14353" max="14353" width="10.85546875" style="1" customWidth="1"/>
    <col min="14354" max="14354" width="11.28515625" style="1" customWidth="1"/>
    <col min="14355" max="14355" width="13" style="1" customWidth="1"/>
    <col min="14356" max="14592" width="9.140625" style="1"/>
    <col min="14593" max="14593" width="6.7109375" style="1" customWidth="1"/>
    <col min="14594" max="14594" width="25.140625" style="1" customWidth="1"/>
    <col min="14595" max="14595" width="16.42578125" style="1" customWidth="1"/>
    <col min="14596" max="14597" width="6.5703125" style="1" customWidth="1"/>
    <col min="14598" max="14598" width="13.42578125" style="1" customWidth="1"/>
    <col min="14599" max="14599" width="0" style="1" hidden="1" customWidth="1"/>
    <col min="14600" max="14600" width="11.5703125" style="1" customWidth="1"/>
    <col min="14601" max="14601" width="11.28515625" style="1" customWidth="1"/>
    <col min="14602" max="14602" width="11.140625" style="1" customWidth="1"/>
    <col min="14603" max="14608" width="11.28515625" style="1" customWidth="1"/>
    <col min="14609" max="14609" width="10.85546875" style="1" customWidth="1"/>
    <col min="14610" max="14610" width="11.28515625" style="1" customWidth="1"/>
    <col min="14611" max="14611" width="13" style="1" customWidth="1"/>
    <col min="14612" max="14848" width="9.140625" style="1"/>
    <col min="14849" max="14849" width="6.7109375" style="1" customWidth="1"/>
    <col min="14850" max="14850" width="25.140625" style="1" customWidth="1"/>
    <col min="14851" max="14851" width="16.42578125" style="1" customWidth="1"/>
    <col min="14852" max="14853" width="6.5703125" style="1" customWidth="1"/>
    <col min="14854" max="14854" width="13.42578125" style="1" customWidth="1"/>
    <col min="14855" max="14855" width="0" style="1" hidden="1" customWidth="1"/>
    <col min="14856" max="14856" width="11.5703125" style="1" customWidth="1"/>
    <col min="14857" max="14857" width="11.28515625" style="1" customWidth="1"/>
    <col min="14858" max="14858" width="11.140625" style="1" customWidth="1"/>
    <col min="14859" max="14864" width="11.28515625" style="1" customWidth="1"/>
    <col min="14865" max="14865" width="10.85546875" style="1" customWidth="1"/>
    <col min="14866" max="14866" width="11.28515625" style="1" customWidth="1"/>
    <col min="14867" max="14867" width="13" style="1" customWidth="1"/>
    <col min="14868" max="15104" width="9.140625" style="1"/>
    <col min="15105" max="15105" width="6.7109375" style="1" customWidth="1"/>
    <col min="15106" max="15106" width="25.140625" style="1" customWidth="1"/>
    <col min="15107" max="15107" width="16.42578125" style="1" customWidth="1"/>
    <col min="15108" max="15109" width="6.5703125" style="1" customWidth="1"/>
    <col min="15110" max="15110" width="13.42578125" style="1" customWidth="1"/>
    <col min="15111" max="15111" width="0" style="1" hidden="1" customWidth="1"/>
    <col min="15112" max="15112" width="11.5703125" style="1" customWidth="1"/>
    <col min="15113" max="15113" width="11.28515625" style="1" customWidth="1"/>
    <col min="15114" max="15114" width="11.140625" style="1" customWidth="1"/>
    <col min="15115" max="15120" width="11.28515625" style="1" customWidth="1"/>
    <col min="15121" max="15121" width="10.85546875" style="1" customWidth="1"/>
    <col min="15122" max="15122" width="11.28515625" style="1" customWidth="1"/>
    <col min="15123" max="15123" width="13" style="1" customWidth="1"/>
    <col min="15124" max="15360" width="9.140625" style="1"/>
    <col min="15361" max="15361" width="6.7109375" style="1" customWidth="1"/>
    <col min="15362" max="15362" width="25.140625" style="1" customWidth="1"/>
    <col min="15363" max="15363" width="16.42578125" style="1" customWidth="1"/>
    <col min="15364" max="15365" width="6.5703125" style="1" customWidth="1"/>
    <col min="15366" max="15366" width="13.42578125" style="1" customWidth="1"/>
    <col min="15367" max="15367" width="0" style="1" hidden="1" customWidth="1"/>
    <col min="15368" max="15368" width="11.5703125" style="1" customWidth="1"/>
    <col min="15369" max="15369" width="11.28515625" style="1" customWidth="1"/>
    <col min="15370" max="15370" width="11.140625" style="1" customWidth="1"/>
    <col min="15371" max="15376" width="11.28515625" style="1" customWidth="1"/>
    <col min="15377" max="15377" width="10.85546875" style="1" customWidth="1"/>
    <col min="15378" max="15378" width="11.28515625" style="1" customWidth="1"/>
    <col min="15379" max="15379" width="13" style="1" customWidth="1"/>
    <col min="15380" max="15616" width="9.140625" style="1"/>
    <col min="15617" max="15617" width="6.7109375" style="1" customWidth="1"/>
    <col min="15618" max="15618" width="25.140625" style="1" customWidth="1"/>
    <col min="15619" max="15619" width="16.42578125" style="1" customWidth="1"/>
    <col min="15620" max="15621" width="6.5703125" style="1" customWidth="1"/>
    <col min="15622" max="15622" width="13.42578125" style="1" customWidth="1"/>
    <col min="15623" max="15623" width="0" style="1" hidden="1" customWidth="1"/>
    <col min="15624" max="15624" width="11.5703125" style="1" customWidth="1"/>
    <col min="15625" max="15625" width="11.28515625" style="1" customWidth="1"/>
    <col min="15626" max="15626" width="11.140625" style="1" customWidth="1"/>
    <col min="15627" max="15632" width="11.28515625" style="1" customWidth="1"/>
    <col min="15633" max="15633" width="10.85546875" style="1" customWidth="1"/>
    <col min="15634" max="15634" width="11.28515625" style="1" customWidth="1"/>
    <col min="15635" max="15635" width="13" style="1" customWidth="1"/>
    <col min="15636" max="15872" width="9.140625" style="1"/>
    <col min="15873" max="15873" width="6.7109375" style="1" customWidth="1"/>
    <col min="15874" max="15874" width="25.140625" style="1" customWidth="1"/>
    <col min="15875" max="15875" width="16.42578125" style="1" customWidth="1"/>
    <col min="15876" max="15877" width="6.5703125" style="1" customWidth="1"/>
    <col min="15878" max="15878" width="13.42578125" style="1" customWidth="1"/>
    <col min="15879" max="15879" width="0" style="1" hidden="1" customWidth="1"/>
    <col min="15880" max="15880" width="11.5703125" style="1" customWidth="1"/>
    <col min="15881" max="15881" width="11.28515625" style="1" customWidth="1"/>
    <col min="15882" max="15882" width="11.140625" style="1" customWidth="1"/>
    <col min="15883" max="15888" width="11.28515625" style="1" customWidth="1"/>
    <col min="15889" max="15889" width="10.85546875" style="1" customWidth="1"/>
    <col min="15890" max="15890" width="11.28515625" style="1" customWidth="1"/>
    <col min="15891" max="15891" width="13" style="1" customWidth="1"/>
    <col min="15892" max="16128" width="9.140625" style="1"/>
    <col min="16129" max="16129" width="6.7109375" style="1" customWidth="1"/>
    <col min="16130" max="16130" width="25.140625" style="1" customWidth="1"/>
    <col min="16131" max="16131" width="16.42578125" style="1" customWidth="1"/>
    <col min="16132" max="16133" width="6.5703125" style="1" customWidth="1"/>
    <col min="16134" max="16134" width="13.42578125" style="1" customWidth="1"/>
    <col min="16135" max="16135" width="0" style="1" hidden="1" customWidth="1"/>
    <col min="16136" max="16136" width="11.5703125" style="1" customWidth="1"/>
    <col min="16137" max="16137" width="11.28515625" style="1" customWidth="1"/>
    <col min="16138" max="16138" width="11.140625" style="1" customWidth="1"/>
    <col min="16139" max="16144" width="11.28515625" style="1" customWidth="1"/>
    <col min="16145" max="16145" width="10.85546875" style="1" customWidth="1"/>
    <col min="16146" max="16146" width="11.28515625" style="1" customWidth="1"/>
    <col min="16147" max="16147" width="13" style="1" customWidth="1"/>
    <col min="16148" max="16384" width="9.140625" style="1"/>
  </cols>
  <sheetData>
    <row r="1" spans="1:21" ht="22.5" customHeight="1">
      <c r="K1" s="486" t="s">
        <v>619</v>
      </c>
      <c r="L1" s="486"/>
      <c r="M1" s="486"/>
      <c r="N1" s="486"/>
      <c r="O1" s="486"/>
      <c r="P1" s="486"/>
      <c r="Q1" s="486"/>
      <c r="R1" s="486"/>
      <c r="S1" s="486"/>
    </row>
    <row r="2" spans="1:21" ht="22.5" customHeight="1">
      <c r="K2" s="138"/>
      <c r="L2" s="138"/>
      <c r="M2" s="138"/>
      <c r="N2" s="138"/>
      <c r="O2" s="138"/>
      <c r="P2" s="138"/>
      <c r="Q2" s="138"/>
      <c r="R2" s="138"/>
      <c r="S2" s="138"/>
    </row>
    <row r="3" spans="1:21" s="2" customFormat="1" ht="25.5" customHeight="1" thickBot="1">
      <c r="A3" s="487" t="s">
        <v>198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U3" s="1"/>
    </row>
    <row r="4" spans="1:21" s="6" customFormat="1" ht="0.75" hidden="1" customHeight="1" thickBot="1">
      <c r="A4" s="3"/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5"/>
      <c r="Q4" s="5"/>
      <c r="R4" s="5"/>
      <c r="S4" s="5" t="s">
        <v>7</v>
      </c>
    </row>
    <row r="5" spans="1:21" s="7" customFormat="1" ht="64.5" customHeight="1">
      <c r="A5" s="488" t="s">
        <v>0</v>
      </c>
      <c r="B5" s="490" t="s">
        <v>8</v>
      </c>
      <c r="C5" s="492" t="s">
        <v>9</v>
      </c>
      <c r="D5" s="494" t="s">
        <v>10</v>
      </c>
      <c r="E5" s="494"/>
      <c r="F5" s="490" t="s">
        <v>11</v>
      </c>
      <c r="G5" s="495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7"/>
      <c r="S5" s="498" t="s">
        <v>12</v>
      </c>
    </row>
    <row r="6" spans="1:21" s="7" customFormat="1" ht="51" customHeight="1" thickBot="1">
      <c r="A6" s="489"/>
      <c r="B6" s="491"/>
      <c r="C6" s="493"/>
      <c r="D6" s="253" t="s">
        <v>13</v>
      </c>
      <c r="E6" s="253" t="s">
        <v>14</v>
      </c>
      <c r="F6" s="491"/>
      <c r="G6" s="251" t="s">
        <v>15</v>
      </c>
      <c r="H6" s="251" t="s">
        <v>16</v>
      </c>
      <c r="I6" s="251" t="s">
        <v>17</v>
      </c>
      <c r="J6" s="251" t="s">
        <v>18</v>
      </c>
      <c r="K6" s="251" t="s">
        <v>19</v>
      </c>
      <c r="L6" s="251" t="s">
        <v>20</v>
      </c>
      <c r="M6" s="251" t="s">
        <v>21</v>
      </c>
      <c r="N6" s="251" t="s">
        <v>22</v>
      </c>
      <c r="O6" s="251" t="s">
        <v>23</v>
      </c>
      <c r="P6" s="251" t="s">
        <v>24</v>
      </c>
      <c r="Q6" s="252" t="s">
        <v>25</v>
      </c>
      <c r="R6" s="252" t="s">
        <v>26</v>
      </c>
      <c r="S6" s="499"/>
    </row>
    <row r="7" spans="1:21" s="11" customFormat="1" ht="13.5" customHeight="1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/>
      <c r="H7" s="9">
        <v>7</v>
      </c>
      <c r="I7" s="9">
        <v>8</v>
      </c>
      <c r="J7" s="9">
        <v>9</v>
      </c>
      <c r="K7" s="9">
        <v>10</v>
      </c>
      <c r="L7" s="9">
        <v>11</v>
      </c>
      <c r="M7" s="9">
        <v>12</v>
      </c>
      <c r="N7" s="9">
        <v>13</v>
      </c>
      <c r="O7" s="9">
        <v>14</v>
      </c>
      <c r="P7" s="9">
        <v>15</v>
      </c>
      <c r="Q7" s="9">
        <v>16</v>
      </c>
      <c r="R7" s="9">
        <v>17</v>
      </c>
      <c r="S7" s="10">
        <v>18</v>
      </c>
    </row>
    <row r="8" spans="1:21" s="15" customFormat="1">
      <c r="A8" s="135" t="s">
        <v>27</v>
      </c>
      <c r="B8" s="500" t="s">
        <v>28</v>
      </c>
      <c r="C8" s="500"/>
      <c r="D8" s="500"/>
      <c r="E8" s="500"/>
      <c r="F8" s="136">
        <f t="shared" ref="F8:S8" si="0">F11++F39+F51</f>
        <v>53019637</v>
      </c>
      <c r="G8" s="136" t="e">
        <f t="shared" si="0"/>
        <v>#REF!</v>
      </c>
      <c r="H8" s="136">
        <f t="shared" si="0"/>
        <v>1998109</v>
      </c>
      <c r="I8" s="136">
        <f t="shared" si="0"/>
        <v>2537393</v>
      </c>
      <c r="J8" s="136">
        <f t="shared" si="0"/>
        <v>2398704</v>
      </c>
      <c r="K8" s="136">
        <f t="shared" si="0"/>
        <v>2456617</v>
      </c>
      <c r="L8" s="136">
        <f t="shared" si="0"/>
        <v>3021481</v>
      </c>
      <c r="M8" s="136">
        <f t="shared" si="0"/>
        <v>3004000</v>
      </c>
      <c r="N8" s="136">
        <f t="shared" si="0"/>
        <v>3608845</v>
      </c>
      <c r="O8" s="136">
        <f t="shared" si="0"/>
        <v>3600500</v>
      </c>
      <c r="P8" s="136">
        <f t="shared" si="0"/>
        <v>6351000</v>
      </c>
      <c r="Q8" s="136">
        <f t="shared" si="0"/>
        <v>9277000</v>
      </c>
      <c r="R8" s="136">
        <f t="shared" si="0"/>
        <v>9927000</v>
      </c>
      <c r="S8" s="137">
        <f t="shared" si="0"/>
        <v>46182540</v>
      </c>
    </row>
    <row r="9" spans="1:21" s="15" customFormat="1">
      <c r="A9" s="12" t="s">
        <v>29</v>
      </c>
      <c r="B9" s="501" t="s">
        <v>30</v>
      </c>
      <c r="C9" s="501"/>
      <c r="D9" s="501"/>
      <c r="E9" s="501"/>
      <c r="F9" s="13">
        <f t="shared" ref="F9:S9" si="1">F12+F40+F52</f>
        <v>4516353</v>
      </c>
      <c r="G9" s="13">
        <f t="shared" si="1"/>
        <v>0</v>
      </c>
      <c r="H9" s="13">
        <f t="shared" si="1"/>
        <v>648376</v>
      </c>
      <c r="I9" s="13">
        <f t="shared" si="1"/>
        <v>651424</v>
      </c>
      <c r="J9" s="13">
        <f t="shared" si="1"/>
        <v>357212</v>
      </c>
      <c r="K9" s="13">
        <f t="shared" si="1"/>
        <v>249000</v>
      </c>
      <c r="L9" s="13">
        <f t="shared" si="1"/>
        <v>249000</v>
      </c>
      <c r="M9" s="13">
        <f t="shared" si="1"/>
        <v>199000</v>
      </c>
      <c r="N9" s="13">
        <f t="shared" si="1"/>
        <v>101000</v>
      </c>
      <c r="O9" s="13">
        <f t="shared" si="1"/>
        <v>41000</v>
      </c>
      <c r="P9" s="13">
        <f t="shared" si="1"/>
        <v>17000</v>
      </c>
      <c r="Q9" s="13">
        <f t="shared" si="1"/>
        <v>17000</v>
      </c>
      <c r="R9" s="13">
        <f t="shared" si="1"/>
        <v>17000</v>
      </c>
      <c r="S9" s="14">
        <f t="shared" si="1"/>
        <v>1898636</v>
      </c>
    </row>
    <row r="10" spans="1:21" s="15" customFormat="1" ht="15" thickBot="1">
      <c r="A10" s="16" t="s">
        <v>31</v>
      </c>
      <c r="B10" s="502" t="s">
        <v>32</v>
      </c>
      <c r="C10" s="502"/>
      <c r="D10" s="502"/>
      <c r="E10" s="502"/>
      <c r="F10" s="17">
        <f t="shared" ref="F10:S10" si="2">F17+F41+F63</f>
        <v>48503284</v>
      </c>
      <c r="G10" s="17" t="e">
        <f t="shared" si="2"/>
        <v>#REF!</v>
      </c>
      <c r="H10" s="17">
        <f t="shared" si="2"/>
        <v>1349733</v>
      </c>
      <c r="I10" s="17">
        <f t="shared" si="2"/>
        <v>1885969</v>
      </c>
      <c r="J10" s="17">
        <f t="shared" si="2"/>
        <v>2041492</v>
      </c>
      <c r="K10" s="17">
        <f t="shared" si="2"/>
        <v>2207617</v>
      </c>
      <c r="L10" s="17">
        <f t="shared" si="2"/>
        <v>2772481</v>
      </c>
      <c r="M10" s="17">
        <f t="shared" si="2"/>
        <v>2805000</v>
      </c>
      <c r="N10" s="17">
        <f t="shared" si="2"/>
        <v>3507845</v>
      </c>
      <c r="O10" s="17">
        <f t="shared" si="2"/>
        <v>3559500</v>
      </c>
      <c r="P10" s="17">
        <f t="shared" si="2"/>
        <v>6334000</v>
      </c>
      <c r="Q10" s="17">
        <f t="shared" si="2"/>
        <v>9260000</v>
      </c>
      <c r="R10" s="17">
        <f t="shared" si="2"/>
        <v>9910000</v>
      </c>
      <c r="S10" s="18">
        <f t="shared" si="2"/>
        <v>44283904</v>
      </c>
    </row>
    <row r="11" spans="1:21" s="85" customFormat="1" ht="66.75" customHeight="1" thickBot="1">
      <c r="A11" s="139" t="s">
        <v>1</v>
      </c>
      <c r="B11" s="503" t="s">
        <v>33</v>
      </c>
      <c r="C11" s="504"/>
      <c r="D11" s="504"/>
      <c r="E11" s="505"/>
      <c r="F11" s="140">
        <f t="shared" ref="F11:S11" si="3">F12+F17</f>
        <v>34676939</v>
      </c>
      <c r="G11" s="140" t="e">
        <f t="shared" si="3"/>
        <v>#REF!</v>
      </c>
      <c r="H11" s="140">
        <f t="shared" si="3"/>
        <v>648376</v>
      </c>
      <c r="I11" s="140">
        <f t="shared" si="3"/>
        <v>1330492</v>
      </c>
      <c r="J11" s="140">
        <f t="shared" si="3"/>
        <v>792685</v>
      </c>
      <c r="K11" s="140">
        <f t="shared" si="3"/>
        <v>437430</v>
      </c>
      <c r="L11" s="140">
        <f t="shared" si="3"/>
        <v>1010000</v>
      </c>
      <c r="M11" s="140">
        <f t="shared" si="3"/>
        <v>1795000</v>
      </c>
      <c r="N11" s="140">
        <f t="shared" si="3"/>
        <v>2347845</v>
      </c>
      <c r="O11" s="140">
        <f t="shared" si="3"/>
        <v>2250000</v>
      </c>
      <c r="P11" s="140">
        <f t="shared" si="3"/>
        <v>4874000</v>
      </c>
      <c r="Q11" s="140">
        <f t="shared" si="3"/>
        <v>8200000</v>
      </c>
      <c r="R11" s="140">
        <f t="shared" si="3"/>
        <v>8850000</v>
      </c>
      <c r="S11" s="141">
        <f t="shared" si="3"/>
        <v>31887452</v>
      </c>
    </row>
    <row r="12" spans="1:21" s="85" customFormat="1" ht="15" thickBot="1">
      <c r="A12" s="142" t="s">
        <v>2</v>
      </c>
      <c r="B12" s="483" t="s">
        <v>30</v>
      </c>
      <c r="C12" s="484"/>
      <c r="D12" s="484"/>
      <c r="E12" s="485"/>
      <c r="F12" s="143">
        <f t="shared" ref="F12:S12" si="4">SUM(F13:F16)</f>
        <v>3891353</v>
      </c>
      <c r="G12" s="143">
        <f t="shared" si="4"/>
        <v>0</v>
      </c>
      <c r="H12" s="143">
        <f t="shared" si="4"/>
        <v>648376</v>
      </c>
      <c r="I12" s="143">
        <f t="shared" si="4"/>
        <v>646424</v>
      </c>
      <c r="J12" s="143">
        <f t="shared" si="4"/>
        <v>287212</v>
      </c>
      <c r="K12" s="143">
        <f t="shared" si="4"/>
        <v>110000</v>
      </c>
      <c r="L12" s="143">
        <f t="shared" si="4"/>
        <v>110000</v>
      </c>
      <c r="M12" s="143">
        <f t="shared" si="4"/>
        <v>60000</v>
      </c>
      <c r="N12" s="143">
        <f t="shared" si="4"/>
        <v>60000</v>
      </c>
      <c r="O12" s="143">
        <f t="shared" si="4"/>
        <v>0</v>
      </c>
      <c r="P12" s="143">
        <f t="shared" si="4"/>
        <v>0</v>
      </c>
      <c r="Q12" s="143">
        <f t="shared" si="4"/>
        <v>0</v>
      </c>
      <c r="R12" s="143">
        <f t="shared" si="4"/>
        <v>0</v>
      </c>
      <c r="S12" s="144">
        <f t="shared" si="4"/>
        <v>1273636</v>
      </c>
    </row>
    <row r="13" spans="1:21" s="15" customFormat="1" ht="36">
      <c r="A13" s="256" t="s">
        <v>34</v>
      </c>
      <c r="B13" s="19" t="s">
        <v>35</v>
      </c>
      <c r="C13" s="20" t="s">
        <v>36</v>
      </c>
      <c r="D13" s="21">
        <v>2009</v>
      </c>
      <c r="E13" s="21">
        <v>2019</v>
      </c>
      <c r="F13" s="22">
        <v>1948011</v>
      </c>
      <c r="G13" s="23"/>
      <c r="H13" s="23">
        <v>118641</v>
      </c>
      <c r="I13" s="23">
        <v>145296</v>
      </c>
      <c r="J13" s="24">
        <v>60000</v>
      </c>
      <c r="K13" s="24">
        <v>60000</v>
      </c>
      <c r="L13" s="24">
        <v>60000</v>
      </c>
      <c r="M13" s="24">
        <v>60000</v>
      </c>
      <c r="N13" s="24">
        <v>60000</v>
      </c>
      <c r="O13" s="25" t="s">
        <v>37</v>
      </c>
      <c r="P13" s="25" t="s">
        <v>37</v>
      </c>
      <c r="Q13" s="25" t="s">
        <v>37</v>
      </c>
      <c r="R13" s="25" t="s">
        <v>37</v>
      </c>
      <c r="S13" s="26">
        <f>SUM(I13:R13)</f>
        <v>445296</v>
      </c>
    </row>
    <row r="14" spans="1:21" s="34" customFormat="1" ht="24">
      <c r="A14" s="27" t="s">
        <v>38</v>
      </c>
      <c r="B14" s="28" t="s">
        <v>39</v>
      </c>
      <c r="C14" s="29" t="s">
        <v>40</v>
      </c>
      <c r="D14" s="30">
        <v>2008</v>
      </c>
      <c r="E14" s="122">
        <v>2014</v>
      </c>
      <c r="F14" s="31">
        <v>482273</v>
      </c>
      <c r="G14" s="32"/>
      <c r="H14" s="32">
        <v>122940</v>
      </c>
      <c r="I14" s="64">
        <v>91411</v>
      </c>
      <c r="J14" s="31" t="s">
        <v>37</v>
      </c>
      <c r="K14" s="31" t="s">
        <v>37</v>
      </c>
      <c r="L14" s="31" t="s">
        <v>37</v>
      </c>
      <c r="M14" s="31" t="s">
        <v>37</v>
      </c>
      <c r="N14" s="31" t="s">
        <v>37</v>
      </c>
      <c r="O14" s="31" t="s">
        <v>37</v>
      </c>
      <c r="P14" s="31" t="s">
        <v>37</v>
      </c>
      <c r="Q14" s="31" t="s">
        <v>37</v>
      </c>
      <c r="R14" s="31" t="s">
        <v>37</v>
      </c>
      <c r="S14" s="26">
        <f t="shared" ref="S14:S38" si="5">SUM(I14:R14)</f>
        <v>91411</v>
      </c>
    </row>
    <row r="15" spans="1:21" s="42" customFormat="1" ht="75" customHeight="1">
      <c r="A15" s="27" t="s">
        <v>41</v>
      </c>
      <c r="B15" s="35" t="s">
        <v>42</v>
      </c>
      <c r="C15" s="36" t="s">
        <v>43</v>
      </c>
      <c r="D15" s="37">
        <v>2012</v>
      </c>
      <c r="E15" s="37">
        <v>2015</v>
      </c>
      <c r="F15" s="38">
        <v>1361069</v>
      </c>
      <c r="G15" s="39"/>
      <c r="H15" s="39">
        <v>406795</v>
      </c>
      <c r="I15" s="39">
        <v>409717</v>
      </c>
      <c r="J15" s="39">
        <v>227212</v>
      </c>
      <c r="K15" s="40" t="s">
        <v>37</v>
      </c>
      <c r="L15" s="41" t="s">
        <v>37</v>
      </c>
      <c r="M15" s="41" t="s">
        <v>37</v>
      </c>
      <c r="N15" s="41" t="s">
        <v>37</v>
      </c>
      <c r="O15" s="41" t="s">
        <v>37</v>
      </c>
      <c r="P15" s="41" t="s">
        <v>37</v>
      </c>
      <c r="Q15" s="41" t="s">
        <v>37</v>
      </c>
      <c r="R15" s="41" t="s">
        <v>37</v>
      </c>
      <c r="S15" s="26">
        <f t="shared" si="5"/>
        <v>636929</v>
      </c>
    </row>
    <row r="16" spans="1:21" s="42" customFormat="1" ht="181.5" customHeight="1">
      <c r="A16" s="27" t="s">
        <v>44</v>
      </c>
      <c r="B16" s="166" t="s">
        <v>53</v>
      </c>
      <c r="C16" s="44" t="s">
        <v>54</v>
      </c>
      <c r="D16" s="167">
        <v>2016</v>
      </c>
      <c r="E16" s="167">
        <v>2017</v>
      </c>
      <c r="F16" s="91">
        <v>100000</v>
      </c>
      <c r="G16" s="92"/>
      <c r="H16" s="92"/>
      <c r="I16" s="62" t="s">
        <v>37</v>
      </c>
      <c r="J16" s="62" t="s">
        <v>37</v>
      </c>
      <c r="K16" s="92">
        <v>50000</v>
      </c>
      <c r="L16" s="92">
        <v>50000</v>
      </c>
      <c r="M16" s="62" t="s">
        <v>37</v>
      </c>
      <c r="N16" s="62" t="s">
        <v>37</v>
      </c>
      <c r="O16" s="62" t="s">
        <v>37</v>
      </c>
      <c r="P16" s="62" t="s">
        <v>37</v>
      </c>
      <c r="Q16" s="62" t="s">
        <v>37</v>
      </c>
      <c r="R16" s="62" t="s">
        <v>37</v>
      </c>
      <c r="S16" s="162">
        <f t="shared" si="5"/>
        <v>100000</v>
      </c>
    </row>
    <row r="17" spans="1:19" s="57" customFormat="1" ht="15" thickBot="1">
      <c r="A17" s="175" t="s">
        <v>3</v>
      </c>
      <c r="B17" s="483" t="s">
        <v>32</v>
      </c>
      <c r="C17" s="484"/>
      <c r="D17" s="484"/>
      <c r="E17" s="485"/>
      <c r="F17" s="143">
        <f>SUM(F18:F38)</f>
        <v>30785586</v>
      </c>
      <c r="G17" s="143" t="e">
        <f t="shared" ref="G17:H17" si="6">SUM(G18:G37)</f>
        <v>#REF!</v>
      </c>
      <c r="H17" s="143">
        <f t="shared" si="6"/>
        <v>0</v>
      </c>
      <c r="I17" s="143">
        <f>SUM(I18:I38)</f>
        <v>684068</v>
      </c>
      <c r="J17" s="143">
        <f t="shared" ref="J17:S17" si="7">SUM(J18:J38)</f>
        <v>505473</v>
      </c>
      <c r="K17" s="143">
        <f t="shared" si="7"/>
        <v>327430</v>
      </c>
      <c r="L17" s="143">
        <f t="shared" si="7"/>
        <v>900000</v>
      </c>
      <c r="M17" s="143">
        <f t="shared" si="7"/>
        <v>1735000</v>
      </c>
      <c r="N17" s="143">
        <f t="shared" si="7"/>
        <v>2287845</v>
      </c>
      <c r="O17" s="143">
        <f t="shared" si="7"/>
        <v>2250000</v>
      </c>
      <c r="P17" s="143">
        <f t="shared" si="7"/>
        <v>4874000</v>
      </c>
      <c r="Q17" s="143">
        <f t="shared" si="7"/>
        <v>8200000</v>
      </c>
      <c r="R17" s="143">
        <f t="shared" si="7"/>
        <v>8850000</v>
      </c>
      <c r="S17" s="144">
        <f t="shared" si="7"/>
        <v>30613816</v>
      </c>
    </row>
    <row r="18" spans="1:19" s="42" customFormat="1" ht="78" customHeight="1">
      <c r="A18" s="256" t="s">
        <v>55</v>
      </c>
      <c r="B18" s="58" t="s">
        <v>197</v>
      </c>
      <c r="C18" s="44" t="s">
        <v>56</v>
      </c>
      <c r="D18" s="59">
        <v>2013</v>
      </c>
      <c r="E18" s="59">
        <v>2015</v>
      </c>
      <c r="F18" s="60">
        <v>995765</v>
      </c>
      <c r="G18" s="61"/>
      <c r="H18" s="62" t="s">
        <v>37</v>
      </c>
      <c r="I18" s="63">
        <v>580292</v>
      </c>
      <c r="J18" s="64">
        <v>415473</v>
      </c>
      <c r="K18" s="62" t="s">
        <v>37</v>
      </c>
      <c r="L18" s="62" t="s">
        <v>37</v>
      </c>
      <c r="M18" s="62" t="s">
        <v>37</v>
      </c>
      <c r="N18" s="62" t="s">
        <v>37</v>
      </c>
      <c r="O18" s="62" t="s">
        <v>37</v>
      </c>
      <c r="P18" s="62" t="s">
        <v>37</v>
      </c>
      <c r="Q18" s="62" t="s">
        <v>37</v>
      </c>
      <c r="R18" s="62" t="s">
        <v>37</v>
      </c>
      <c r="S18" s="26">
        <f t="shared" si="5"/>
        <v>995765</v>
      </c>
    </row>
    <row r="19" spans="1:19" s="42" customFormat="1" ht="36" customHeight="1">
      <c r="A19" s="27" t="s">
        <v>57</v>
      </c>
      <c r="B19" s="58" t="s">
        <v>58</v>
      </c>
      <c r="C19" s="44" t="s">
        <v>59</v>
      </c>
      <c r="D19" s="59">
        <v>2022</v>
      </c>
      <c r="E19" s="59">
        <v>2023</v>
      </c>
      <c r="F19" s="60">
        <v>4500000</v>
      </c>
      <c r="G19" s="61"/>
      <c r="H19" s="62" t="s">
        <v>37</v>
      </c>
      <c r="I19" s="64" t="s">
        <v>196</v>
      </c>
      <c r="J19" s="62" t="s">
        <v>37</v>
      </c>
      <c r="K19" s="63">
        <v>0</v>
      </c>
      <c r="L19" s="63">
        <v>0</v>
      </c>
      <c r="M19" s="64">
        <v>0</v>
      </c>
      <c r="N19" s="64">
        <v>0</v>
      </c>
      <c r="O19" s="64">
        <v>0</v>
      </c>
      <c r="P19" s="62" t="s">
        <v>37</v>
      </c>
      <c r="Q19" s="64">
        <v>2000000</v>
      </c>
      <c r="R19" s="64">
        <v>2500000</v>
      </c>
      <c r="S19" s="26">
        <f t="shared" si="5"/>
        <v>4500000</v>
      </c>
    </row>
    <row r="20" spans="1:19" s="42" customFormat="1" ht="38.25" customHeight="1">
      <c r="A20" s="27" t="s">
        <v>60</v>
      </c>
      <c r="B20" s="58" t="s">
        <v>61</v>
      </c>
      <c r="C20" s="44" t="s">
        <v>62</v>
      </c>
      <c r="D20" s="59">
        <v>2017</v>
      </c>
      <c r="E20" s="59">
        <v>2018</v>
      </c>
      <c r="F20" s="60">
        <v>500000</v>
      </c>
      <c r="G20" s="61"/>
      <c r="H20" s="62">
        <v>0</v>
      </c>
      <c r="I20" s="62" t="s">
        <v>37</v>
      </c>
      <c r="J20" s="64" t="s">
        <v>196</v>
      </c>
      <c r="K20" s="64" t="s">
        <v>196</v>
      </c>
      <c r="L20" s="63">
        <v>100000</v>
      </c>
      <c r="M20" s="64">
        <v>400000</v>
      </c>
      <c r="N20" s="62">
        <v>0</v>
      </c>
      <c r="O20" s="62">
        <v>0</v>
      </c>
      <c r="P20" s="62">
        <v>0</v>
      </c>
      <c r="Q20" s="62">
        <v>0</v>
      </c>
      <c r="R20" s="62"/>
      <c r="S20" s="26">
        <f t="shared" si="5"/>
        <v>500000</v>
      </c>
    </row>
    <row r="21" spans="1:19" s="42" customFormat="1" ht="36">
      <c r="A21" s="27" t="s">
        <v>63</v>
      </c>
      <c r="B21" s="65" t="s">
        <v>64</v>
      </c>
      <c r="C21" s="44" t="s">
        <v>65</v>
      </c>
      <c r="D21" s="59">
        <v>2021</v>
      </c>
      <c r="E21" s="59">
        <v>2023</v>
      </c>
      <c r="F21" s="60">
        <v>5000000</v>
      </c>
      <c r="G21" s="61"/>
      <c r="H21" s="62" t="s">
        <v>37</v>
      </c>
      <c r="I21" s="62" t="s">
        <v>37</v>
      </c>
      <c r="J21" s="62" t="s">
        <v>37</v>
      </c>
      <c r="K21" s="62" t="s">
        <v>37</v>
      </c>
      <c r="L21" s="62" t="s">
        <v>37</v>
      </c>
      <c r="M21" s="62" t="s">
        <v>37</v>
      </c>
      <c r="N21" s="63">
        <v>0</v>
      </c>
      <c r="O21" s="64">
        <v>0</v>
      </c>
      <c r="P21" s="64">
        <v>1500000</v>
      </c>
      <c r="Q21" s="64">
        <v>1500000</v>
      </c>
      <c r="R21" s="64">
        <v>2000000</v>
      </c>
      <c r="S21" s="26">
        <f t="shared" si="5"/>
        <v>5000000</v>
      </c>
    </row>
    <row r="22" spans="1:19" s="42" customFormat="1" ht="36.75" customHeight="1">
      <c r="A22" s="27" t="s">
        <v>66</v>
      </c>
      <c r="B22" s="66" t="s">
        <v>67</v>
      </c>
      <c r="C22" s="44" t="s">
        <v>68</v>
      </c>
      <c r="D22" s="59">
        <v>2018</v>
      </c>
      <c r="E22" s="59">
        <v>2020</v>
      </c>
      <c r="F22" s="60">
        <v>2500000</v>
      </c>
      <c r="G22" s="61"/>
      <c r="H22" s="62"/>
      <c r="I22" s="62" t="s">
        <v>37</v>
      </c>
      <c r="J22" s="62" t="s">
        <v>37</v>
      </c>
      <c r="K22" s="62" t="s">
        <v>37</v>
      </c>
      <c r="L22" s="64" t="s">
        <v>196</v>
      </c>
      <c r="M22" s="64">
        <v>1000000</v>
      </c>
      <c r="N22" s="63">
        <v>1000000</v>
      </c>
      <c r="O22" s="64">
        <v>500000</v>
      </c>
      <c r="P22" s="64">
        <v>0</v>
      </c>
      <c r="Q22" s="64">
        <v>0</v>
      </c>
      <c r="R22" s="64">
        <v>0</v>
      </c>
      <c r="S22" s="26">
        <f t="shared" si="5"/>
        <v>2500000</v>
      </c>
    </row>
    <row r="23" spans="1:19" s="34" customFormat="1" ht="36.75" customHeight="1">
      <c r="A23" s="27" t="s">
        <v>69</v>
      </c>
      <c r="B23" s="67" t="s">
        <v>70</v>
      </c>
      <c r="C23" s="44" t="s">
        <v>71</v>
      </c>
      <c r="D23" s="59">
        <v>2012</v>
      </c>
      <c r="E23" s="59">
        <v>2023</v>
      </c>
      <c r="F23" s="60">
        <v>3000000</v>
      </c>
      <c r="G23" s="63"/>
      <c r="H23" s="62" t="s">
        <v>37</v>
      </c>
      <c r="I23" s="62" t="s">
        <v>37</v>
      </c>
      <c r="J23" s="62" t="s">
        <v>37</v>
      </c>
      <c r="K23" s="62" t="s">
        <v>37</v>
      </c>
      <c r="L23" s="62" t="s">
        <v>37</v>
      </c>
      <c r="M23" s="62" t="s">
        <v>37</v>
      </c>
      <c r="N23" s="62" t="s">
        <v>37</v>
      </c>
      <c r="O23" s="62" t="s">
        <v>37</v>
      </c>
      <c r="P23" s="64">
        <v>724000</v>
      </c>
      <c r="Q23" s="64">
        <v>1000000</v>
      </c>
      <c r="R23" s="64">
        <v>1200000</v>
      </c>
      <c r="S23" s="162">
        <f t="shared" si="5"/>
        <v>2924000</v>
      </c>
    </row>
    <row r="24" spans="1:19" s="42" customFormat="1" ht="51" customHeight="1">
      <c r="A24" s="27" t="s">
        <v>72</v>
      </c>
      <c r="B24" s="58" t="s">
        <v>73</v>
      </c>
      <c r="C24" s="44" t="s">
        <v>74</v>
      </c>
      <c r="D24" s="59">
        <v>2019</v>
      </c>
      <c r="E24" s="59">
        <v>2020</v>
      </c>
      <c r="F24" s="60">
        <v>600000</v>
      </c>
      <c r="G24" s="63"/>
      <c r="H24" s="62" t="s">
        <v>37</v>
      </c>
      <c r="I24" s="62" t="s">
        <v>37</v>
      </c>
      <c r="J24" s="62" t="s">
        <v>37</v>
      </c>
      <c r="K24" s="62" t="s">
        <v>37</v>
      </c>
      <c r="L24" s="62" t="s">
        <v>37</v>
      </c>
      <c r="M24" s="62" t="s">
        <v>37</v>
      </c>
      <c r="N24" s="64">
        <v>50000</v>
      </c>
      <c r="O24" s="64">
        <v>550000</v>
      </c>
      <c r="P24" s="62" t="s">
        <v>37</v>
      </c>
      <c r="Q24" s="62" t="s">
        <v>37</v>
      </c>
      <c r="R24" s="62" t="s">
        <v>37</v>
      </c>
      <c r="S24" s="26">
        <f t="shared" si="5"/>
        <v>600000</v>
      </c>
    </row>
    <row r="25" spans="1:19" s="34" customFormat="1" ht="44.25" customHeight="1">
      <c r="A25" s="27" t="s">
        <v>75</v>
      </c>
      <c r="B25" s="58" t="s">
        <v>76</v>
      </c>
      <c r="C25" s="44" t="s">
        <v>77</v>
      </c>
      <c r="D25" s="59">
        <v>2016</v>
      </c>
      <c r="E25" s="59">
        <v>2017</v>
      </c>
      <c r="F25" s="60">
        <v>600000</v>
      </c>
      <c r="G25" s="60" t="e">
        <f>SUM(#REF!)</f>
        <v>#REF!</v>
      </c>
      <c r="H25" s="62" t="s">
        <v>37</v>
      </c>
      <c r="I25" s="62" t="s">
        <v>37</v>
      </c>
      <c r="J25" s="64" t="s">
        <v>196</v>
      </c>
      <c r="K25" s="64">
        <v>50000</v>
      </c>
      <c r="L25" s="62">
        <v>550000</v>
      </c>
      <c r="M25" s="62">
        <v>0</v>
      </c>
      <c r="N25" s="62" t="s">
        <v>37</v>
      </c>
      <c r="O25" s="62" t="s">
        <v>37</v>
      </c>
      <c r="P25" s="62" t="s">
        <v>37</v>
      </c>
      <c r="Q25" s="62" t="s">
        <v>37</v>
      </c>
      <c r="R25" s="62" t="s">
        <v>37</v>
      </c>
      <c r="S25" s="26">
        <f t="shared" si="5"/>
        <v>600000</v>
      </c>
    </row>
    <row r="26" spans="1:19" s="42" customFormat="1" ht="48">
      <c r="A26" s="27" t="s">
        <v>78</v>
      </c>
      <c r="B26" s="58" t="s">
        <v>79</v>
      </c>
      <c r="C26" s="44" t="s">
        <v>80</v>
      </c>
      <c r="D26" s="59">
        <v>2021</v>
      </c>
      <c r="E26" s="59">
        <v>2022</v>
      </c>
      <c r="F26" s="60">
        <v>800000</v>
      </c>
      <c r="G26" s="63" t="e">
        <f>SUM(#REF!)</f>
        <v>#REF!</v>
      </c>
      <c r="H26" s="62" t="s">
        <v>37</v>
      </c>
      <c r="I26" s="62" t="s">
        <v>37</v>
      </c>
      <c r="J26" s="64">
        <v>0</v>
      </c>
      <c r="K26" s="62" t="s">
        <v>37</v>
      </c>
      <c r="L26" s="62" t="s">
        <v>37</v>
      </c>
      <c r="M26" s="62" t="s">
        <v>37</v>
      </c>
      <c r="N26" s="62" t="s">
        <v>37</v>
      </c>
      <c r="O26" s="62" t="s">
        <v>37</v>
      </c>
      <c r="P26" s="64">
        <v>400000</v>
      </c>
      <c r="Q26" s="64">
        <v>400000</v>
      </c>
      <c r="R26" s="62" t="s">
        <v>37</v>
      </c>
      <c r="S26" s="26">
        <f t="shared" si="5"/>
        <v>800000</v>
      </c>
    </row>
    <row r="27" spans="1:19" s="42" customFormat="1" ht="36">
      <c r="A27" s="27" t="s">
        <v>81</v>
      </c>
      <c r="B27" s="58" t="s">
        <v>82</v>
      </c>
      <c r="C27" s="44" t="s">
        <v>83</v>
      </c>
      <c r="D27" s="59">
        <v>2017</v>
      </c>
      <c r="E27" s="59">
        <v>2021</v>
      </c>
      <c r="F27" s="60">
        <v>1000000</v>
      </c>
      <c r="G27" s="63"/>
      <c r="H27" s="62"/>
      <c r="I27" s="62">
        <v>0</v>
      </c>
      <c r="J27" s="64" t="s">
        <v>196</v>
      </c>
      <c r="K27" s="64" t="s">
        <v>37</v>
      </c>
      <c r="L27" s="64">
        <v>200000</v>
      </c>
      <c r="M27" s="64">
        <v>200000</v>
      </c>
      <c r="N27" s="64">
        <v>200000</v>
      </c>
      <c r="O27" s="64">
        <v>200000</v>
      </c>
      <c r="P27" s="64">
        <v>200000</v>
      </c>
      <c r="Q27" s="62">
        <v>0</v>
      </c>
      <c r="R27" s="62">
        <v>0</v>
      </c>
      <c r="S27" s="26">
        <f t="shared" si="5"/>
        <v>1000000</v>
      </c>
    </row>
    <row r="28" spans="1:19" s="42" customFormat="1" ht="37.5" customHeight="1">
      <c r="A28" s="27" t="s">
        <v>84</v>
      </c>
      <c r="B28" s="58" t="s">
        <v>85</v>
      </c>
      <c r="C28" s="44" t="s">
        <v>86</v>
      </c>
      <c r="D28" s="59">
        <v>2022</v>
      </c>
      <c r="E28" s="59">
        <v>2023</v>
      </c>
      <c r="F28" s="60">
        <v>200000</v>
      </c>
      <c r="G28" s="63"/>
      <c r="H28" s="62">
        <v>0</v>
      </c>
      <c r="I28" s="62">
        <v>0</v>
      </c>
      <c r="J28" s="64">
        <v>0</v>
      </c>
      <c r="K28" s="64">
        <v>0</v>
      </c>
      <c r="L28" s="64">
        <v>0</v>
      </c>
      <c r="M28" s="62">
        <v>0</v>
      </c>
      <c r="N28" s="62">
        <v>0</v>
      </c>
      <c r="O28" s="62">
        <v>0</v>
      </c>
      <c r="P28" s="62">
        <v>0</v>
      </c>
      <c r="Q28" s="64">
        <v>50000</v>
      </c>
      <c r="R28" s="64">
        <v>150000</v>
      </c>
      <c r="S28" s="26">
        <f t="shared" si="5"/>
        <v>200000</v>
      </c>
    </row>
    <row r="29" spans="1:19" s="42" customFormat="1" ht="39" customHeight="1">
      <c r="A29" s="27" t="s">
        <v>87</v>
      </c>
      <c r="B29" s="58" t="s">
        <v>88</v>
      </c>
      <c r="C29" s="44" t="s">
        <v>89</v>
      </c>
      <c r="D29" s="59">
        <v>2022</v>
      </c>
      <c r="E29" s="59">
        <v>2023</v>
      </c>
      <c r="F29" s="60">
        <v>1500000</v>
      </c>
      <c r="G29" s="63"/>
      <c r="H29" s="62">
        <v>0</v>
      </c>
      <c r="I29" s="62">
        <v>0</v>
      </c>
      <c r="J29" s="64">
        <v>0</v>
      </c>
      <c r="K29" s="64">
        <v>0</v>
      </c>
      <c r="L29" s="64">
        <v>0</v>
      </c>
      <c r="M29" s="62">
        <v>0</v>
      </c>
      <c r="N29" s="62">
        <v>0</v>
      </c>
      <c r="O29" s="62">
        <v>0</v>
      </c>
      <c r="P29" s="62">
        <v>0</v>
      </c>
      <c r="Q29" s="64">
        <v>1000000</v>
      </c>
      <c r="R29" s="64">
        <v>500000</v>
      </c>
      <c r="S29" s="162">
        <f t="shared" si="5"/>
        <v>1500000</v>
      </c>
    </row>
    <row r="30" spans="1:19" s="42" customFormat="1" ht="36" customHeight="1">
      <c r="A30" s="27" t="s">
        <v>90</v>
      </c>
      <c r="B30" s="67" t="s">
        <v>91</v>
      </c>
      <c r="C30" s="44" t="s">
        <v>92</v>
      </c>
      <c r="D30" s="59">
        <v>2019</v>
      </c>
      <c r="E30" s="59">
        <v>2021</v>
      </c>
      <c r="F30" s="60">
        <v>2500000</v>
      </c>
      <c r="G30" s="63" t="e">
        <f>SUM(#REF!)</f>
        <v>#REF!</v>
      </c>
      <c r="H30" s="62" t="s">
        <v>37</v>
      </c>
      <c r="I30" s="62" t="s">
        <v>37</v>
      </c>
      <c r="J30" s="62" t="s">
        <v>37</v>
      </c>
      <c r="K30" s="62" t="s">
        <v>37</v>
      </c>
      <c r="L30" s="62" t="s">
        <v>37</v>
      </c>
      <c r="M30" s="62" t="s">
        <v>37</v>
      </c>
      <c r="N30" s="64">
        <v>426800</v>
      </c>
      <c r="O30" s="64">
        <v>1000000</v>
      </c>
      <c r="P30" s="64">
        <v>1000000</v>
      </c>
      <c r="Q30" s="62" t="s">
        <v>37</v>
      </c>
      <c r="R30" s="62" t="s">
        <v>37</v>
      </c>
      <c r="S30" s="26">
        <f t="shared" si="5"/>
        <v>2426800</v>
      </c>
    </row>
    <row r="31" spans="1:19" s="42" customFormat="1" ht="36">
      <c r="A31" s="27" t="s">
        <v>93</v>
      </c>
      <c r="B31" s="68" t="s">
        <v>94</v>
      </c>
      <c r="C31" s="69" t="s">
        <v>95</v>
      </c>
      <c r="D31" s="45">
        <v>2018</v>
      </c>
      <c r="E31" s="45">
        <v>2019</v>
      </c>
      <c r="F31" s="46">
        <v>625000</v>
      </c>
      <c r="G31" s="32" t="e">
        <f>SUM(#REF!)</f>
        <v>#REF!</v>
      </c>
      <c r="H31" s="31" t="s">
        <v>37</v>
      </c>
      <c r="I31" s="31" t="s">
        <v>37</v>
      </c>
      <c r="J31" s="31" t="s">
        <v>37</v>
      </c>
      <c r="K31" s="31" t="s">
        <v>37</v>
      </c>
      <c r="L31" s="31" t="s">
        <v>37</v>
      </c>
      <c r="M31" s="33">
        <v>75000</v>
      </c>
      <c r="N31" s="33">
        <v>550000</v>
      </c>
      <c r="O31" s="62" t="s">
        <v>37</v>
      </c>
      <c r="P31" s="62" t="s">
        <v>37</v>
      </c>
      <c r="Q31" s="62" t="s">
        <v>37</v>
      </c>
      <c r="R31" s="62" t="s">
        <v>37</v>
      </c>
      <c r="S31" s="26">
        <f t="shared" si="5"/>
        <v>625000</v>
      </c>
    </row>
    <row r="32" spans="1:19" s="34" customFormat="1" ht="36">
      <c r="A32" s="27" t="s">
        <v>96</v>
      </c>
      <c r="B32" s="67" t="s">
        <v>97</v>
      </c>
      <c r="C32" s="44" t="s">
        <v>98</v>
      </c>
      <c r="D32" s="59">
        <v>2015</v>
      </c>
      <c r="E32" s="59">
        <v>2016</v>
      </c>
      <c r="F32" s="60">
        <v>300000</v>
      </c>
      <c r="G32" s="63" t="e">
        <f>SUM(#REF!)</f>
        <v>#REF!</v>
      </c>
      <c r="H32" s="62" t="s">
        <v>37</v>
      </c>
      <c r="I32" s="62" t="s">
        <v>37</v>
      </c>
      <c r="J32" s="64">
        <v>50000</v>
      </c>
      <c r="K32" s="64">
        <v>227430</v>
      </c>
      <c r="L32" s="62" t="s">
        <v>37</v>
      </c>
      <c r="M32" s="62" t="s">
        <v>37</v>
      </c>
      <c r="N32" s="62" t="s">
        <v>37</v>
      </c>
      <c r="O32" s="62" t="s">
        <v>37</v>
      </c>
      <c r="P32" s="62" t="s">
        <v>37</v>
      </c>
      <c r="Q32" s="62" t="s">
        <v>37</v>
      </c>
      <c r="R32" s="62" t="s">
        <v>37</v>
      </c>
      <c r="S32" s="26">
        <f t="shared" si="5"/>
        <v>277430</v>
      </c>
    </row>
    <row r="33" spans="1:19" s="34" customFormat="1" ht="36">
      <c r="A33" s="27" t="s">
        <v>99</v>
      </c>
      <c r="B33" s="58" t="s">
        <v>100</v>
      </c>
      <c r="C33" s="44" t="s">
        <v>101</v>
      </c>
      <c r="D33" s="59">
        <v>2013</v>
      </c>
      <c r="E33" s="59">
        <v>2014</v>
      </c>
      <c r="F33" s="60">
        <v>64821</v>
      </c>
      <c r="G33" s="63"/>
      <c r="H33" s="62">
        <v>0</v>
      </c>
      <c r="I33" s="64">
        <v>64821</v>
      </c>
      <c r="J33" s="64">
        <v>0</v>
      </c>
      <c r="K33" s="64">
        <v>0</v>
      </c>
      <c r="L33" s="62">
        <v>0</v>
      </c>
      <c r="M33" s="62">
        <v>0</v>
      </c>
      <c r="N33" s="62">
        <v>0</v>
      </c>
      <c r="O33" s="62" t="s">
        <v>37</v>
      </c>
      <c r="P33" s="62" t="s">
        <v>37</v>
      </c>
      <c r="Q33" s="62" t="s">
        <v>37</v>
      </c>
      <c r="R33" s="62" t="s">
        <v>37</v>
      </c>
      <c r="S33" s="26">
        <f t="shared" si="5"/>
        <v>64821</v>
      </c>
    </row>
    <row r="34" spans="1:19" s="42" customFormat="1" ht="36.75" customHeight="1">
      <c r="A34" s="27" t="s">
        <v>102</v>
      </c>
      <c r="B34" s="67" t="s">
        <v>103</v>
      </c>
      <c r="C34" s="44" t="s">
        <v>104</v>
      </c>
      <c r="D34" s="59">
        <v>2021</v>
      </c>
      <c r="E34" s="59">
        <v>2022</v>
      </c>
      <c r="F34" s="60">
        <v>1500000</v>
      </c>
      <c r="G34" s="63" t="e">
        <f>SUM(#REF!)</f>
        <v>#REF!</v>
      </c>
      <c r="H34" s="62" t="s">
        <v>37</v>
      </c>
      <c r="I34" s="62" t="s">
        <v>37</v>
      </c>
      <c r="J34" s="62" t="s">
        <v>37</v>
      </c>
      <c r="K34" s="64">
        <v>0</v>
      </c>
      <c r="L34" s="64">
        <v>0</v>
      </c>
      <c r="M34" s="64">
        <v>0</v>
      </c>
      <c r="N34" s="62">
        <v>0</v>
      </c>
      <c r="O34" s="62" t="s">
        <v>37</v>
      </c>
      <c r="P34" s="64">
        <v>500000</v>
      </c>
      <c r="Q34" s="64">
        <v>1000000</v>
      </c>
      <c r="R34" s="62" t="s">
        <v>37</v>
      </c>
      <c r="S34" s="26">
        <f t="shared" si="5"/>
        <v>1500000</v>
      </c>
    </row>
    <row r="35" spans="1:19" s="42" customFormat="1" ht="36.75" customHeight="1">
      <c r="A35" s="27" t="s">
        <v>105</v>
      </c>
      <c r="B35" s="67" t="s">
        <v>106</v>
      </c>
      <c r="C35" s="44" t="s">
        <v>107</v>
      </c>
      <c r="D35" s="59">
        <v>2022</v>
      </c>
      <c r="E35" s="59">
        <v>2023</v>
      </c>
      <c r="F35" s="60">
        <v>1200000</v>
      </c>
      <c r="G35" s="63" t="e">
        <f>SUM(#REF!)</f>
        <v>#REF!</v>
      </c>
      <c r="H35" s="62" t="s">
        <v>37</v>
      </c>
      <c r="I35" s="62" t="s">
        <v>37</v>
      </c>
      <c r="J35" s="62" t="s">
        <v>37</v>
      </c>
      <c r="K35" s="64">
        <v>0</v>
      </c>
      <c r="L35" s="64">
        <v>0</v>
      </c>
      <c r="M35" s="62" t="s">
        <v>37</v>
      </c>
      <c r="N35" s="62" t="s">
        <v>37</v>
      </c>
      <c r="O35" s="62" t="s">
        <v>37</v>
      </c>
      <c r="P35" s="62" t="s">
        <v>37</v>
      </c>
      <c r="Q35" s="64">
        <v>200000</v>
      </c>
      <c r="R35" s="64">
        <v>1000000</v>
      </c>
      <c r="S35" s="26">
        <f t="shared" si="5"/>
        <v>1200000</v>
      </c>
    </row>
    <row r="36" spans="1:19" s="42" customFormat="1" ht="36.75" customHeight="1">
      <c r="A36" s="70" t="s">
        <v>108</v>
      </c>
      <c r="B36" s="66" t="s">
        <v>109</v>
      </c>
      <c r="C36" s="51" t="s">
        <v>110</v>
      </c>
      <c r="D36" s="71">
        <v>2014</v>
      </c>
      <c r="E36" s="71">
        <v>2019</v>
      </c>
      <c r="F36" s="72">
        <v>300000</v>
      </c>
      <c r="G36" s="73"/>
      <c r="H36" s="56" t="s">
        <v>37</v>
      </c>
      <c r="I36" s="74">
        <v>38955</v>
      </c>
      <c r="J36" s="74">
        <v>40000</v>
      </c>
      <c r="K36" s="74">
        <v>50000</v>
      </c>
      <c r="L36" s="74">
        <v>50000</v>
      </c>
      <c r="M36" s="74">
        <v>60000</v>
      </c>
      <c r="N36" s="74">
        <v>61045</v>
      </c>
      <c r="O36" s="56">
        <v>0</v>
      </c>
      <c r="P36" s="56">
        <v>0</v>
      </c>
      <c r="Q36" s="76">
        <v>0</v>
      </c>
      <c r="R36" s="56">
        <v>0</v>
      </c>
      <c r="S36" s="26">
        <f t="shared" si="5"/>
        <v>300000</v>
      </c>
    </row>
    <row r="37" spans="1:19" s="42" customFormat="1" ht="36">
      <c r="A37" s="27" t="s">
        <v>111</v>
      </c>
      <c r="B37" s="58" t="s">
        <v>112</v>
      </c>
      <c r="C37" s="44" t="s">
        <v>113</v>
      </c>
      <c r="D37" s="59">
        <v>2021</v>
      </c>
      <c r="E37" s="59">
        <v>2023</v>
      </c>
      <c r="F37" s="60">
        <v>3000000</v>
      </c>
      <c r="G37" s="63"/>
      <c r="H37" s="62" t="s">
        <v>37</v>
      </c>
      <c r="I37" s="62" t="s">
        <v>37</v>
      </c>
      <c r="J37" s="62" t="s">
        <v>37</v>
      </c>
      <c r="K37" s="62" t="s">
        <v>37</v>
      </c>
      <c r="L37" s="62" t="s">
        <v>37</v>
      </c>
      <c r="M37" s="62" t="s">
        <v>37</v>
      </c>
      <c r="N37" s="62" t="s">
        <v>37</v>
      </c>
      <c r="O37" s="64">
        <v>0</v>
      </c>
      <c r="P37" s="64">
        <v>500000</v>
      </c>
      <c r="Q37" s="64">
        <v>1000000</v>
      </c>
      <c r="R37" s="64">
        <v>1500000</v>
      </c>
      <c r="S37" s="162">
        <f t="shared" si="5"/>
        <v>3000000</v>
      </c>
    </row>
    <row r="38" spans="1:19" s="42" customFormat="1" ht="48.75" thickBot="1">
      <c r="A38" s="255" t="s">
        <v>114</v>
      </c>
      <c r="B38" s="77" t="s">
        <v>115</v>
      </c>
      <c r="C38" s="78" t="s">
        <v>116</v>
      </c>
      <c r="D38" s="79">
        <v>2021</v>
      </c>
      <c r="E38" s="80">
        <v>2022</v>
      </c>
      <c r="F38" s="81">
        <v>100000</v>
      </c>
      <c r="G38" s="82"/>
      <c r="H38" s="83"/>
      <c r="I38" s="56" t="s">
        <v>37</v>
      </c>
      <c r="J38" s="56" t="s">
        <v>37</v>
      </c>
      <c r="K38" s="56" t="s">
        <v>37</v>
      </c>
      <c r="L38" s="84"/>
      <c r="M38" s="84"/>
      <c r="N38" s="56" t="s">
        <v>37</v>
      </c>
      <c r="O38" s="56" t="s">
        <v>37</v>
      </c>
      <c r="P38" s="84">
        <v>50000</v>
      </c>
      <c r="Q38" s="84">
        <v>50000</v>
      </c>
      <c r="R38" s="56" t="s">
        <v>37</v>
      </c>
      <c r="S38" s="26">
        <f t="shared" si="5"/>
        <v>100000</v>
      </c>
    </row>
    <row r="39" spans="1:19" s="85" customFormat="1" ht="33" customHeight="1" thickBot="1">
      <c r="A39" s="139" t="s">
        <v>4</v>
      </c>
      <c r="B39" s="506" t="s">
        <v>117</v>
      </c>
      <c r="C39" s="506"/>
      <c r="D39" s="506"/>
      <c r="E39" s="506"/>
      <c r="F39" s="140">
        <f t="shared" ref="F39:Q39" si="8">SUM(F40:F41)</f>
        <v>0</v>
      </c>
      <c r="G39" s="145">
        <f t="shared" si="8"/>
        <v>0</v>
      </c>
      <c r="H39" s="145">
        <f t="shared" si="8"/>
        <v>0</v>
      </c>
      <c r="I39" s="145">
        <f t="shared" si="8"/>
        <v>0</v>
      </c>
      <c r="J39" s="145">
        <f t="shared" si="8"/>
        <v>0</v>
      </c>
      <c r="K39" s="145">
        <f t="shared" si="8"/>
        <v>0</v>
      </c>
      <c r="L39" s="145">
        <f t="shared" si="8"/>
        <v>0</v>
      </c>
      <c r="M39" s="145">
        <f t="shared" si="8"/>
        <v>0</v>
      </c>
      <c r="N39" s="145">
        <f t="shared" si="8"/>
        <v>0</v>
      </c>
      <c r="O39" s="145">
        <f t="shared" si="8"/>
        <v>0</v>
      </c>
      <c r="P39" s="145">
        <f t="shared" si="8"/>
        <v>0</v>
      </c>
      <c r="Q39" s="145">
        <f t="shared" si="8"/>
        <v>0</v>
      </c>
      <c r="R39" s="145"/>
      <c r="S39" s="146">
        <v>0</v>
      </c>
    </row>
    <row r="40" spans="1:19" s="85" customFormat="1">
      <c r="A40" s="147" t="s">
        <v>5</v>
      </c>
      <c r="B40" s="507" t="s">
        <v>30</v>
      </c>
      <c r="C40" s="507"/>
      <c r="D40" s="507"/>
      <c r="E40" s="507"/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254">
        <v>0</v>
      </c>
    </row>
    <row r="41" spans="1:19" s="85" customFormat="1" ht="15" thickBot="1">
      <c r="A41" s="142" t="s">
        <v>6</v>
      </c>
      <c r="B41" s="483" t="s">
        <v>32</v>
      </c>
      <c r="C41" s="484"/>
      <c r="D41" s="484"/>
      <c r="E41" s="485"/>
      <c r="F41" s="148">
        <v>0</v>
      </c>
      <c r="G41" s="148">
        <v>0</v>
      </c>
      <c r="H41" s="148">
        <v>0</v>
      </c>
      <c r="I41" s="148">
        <v>0</v>
      </c>
      <c r="J41" s="148">
        <v>0</v>
      </c>
      <c r="K41" s="148">
        <v>0</v>
      </c>
      <c r="L41" s="148">
        <v>0</v>
      </c>
      <c r="M41" s="148">
        <v>0</v>
      </c>
      <c r="N41" s="148">
        <v>0</v>
      </c>
      <c r="O41" s="148">
        <v>0</v>
      </c>
      <c r="P41" s="148">
        <v>0</v>
      </c>
      <c r="Q41" s="148">
        <v>0</v>
      </c>
      <c r="R41" s="148">
        <v>0</v>
      </c>
      <c r="S41" s="149">
        <v>0</v>
      </c>
    </row>
    <row r="42" spans="1:19" s="85" customFormat="1" ht="15" hidden="1" thickBot="1">
      <c r="A42" s="508"/>
      <c r="B42" s="150" t="s">
        <v>118</v>
      </c>
      <c r="C42" s="510"/>
      <c r="D42" s="512"/>
      <c r="E42" s="512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95"/>
      <c r="R42" s="95"/>
      <c r="S42" s="514"/>
    </row>
    <row r="43" spans="1:19" s="85" customFormat="1" ht="15" hidden="1" thickBot="1">
      <c r="A43" s="508"/>
      <c r="B43" s="152" t="s">
        <v>30</v>
      </c>
      <c r="C43" s="510"/>
      <c r="D43" s="512"/>
      <c r="E43" s="512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514"/>
    </row>
    <row r="44" spans="1:19" s="85" customFormat="1" ht="15" hidden="1" thickBot="1">
      <c r="A44" s="509"/>
      <c r="B44" s="152" t="s">
        <v>32</v>
      </c>
      <c r="C44" s="511"/>
      <c r="D44" s="513"/>
      <c r="E44" s="51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4"/>
      <c r="R44" s="154"/>
      <c r="S44" s="515"/>
    </row>
    <row r="45" spans="1:19" s="85" customFormat="1" ht="15" hidden="1" thickBot="1">
      <c r="A45" s="516"/>
      <c r="B45" s="155" t="s">
        <v>118</v>
      </c>
      <c r="C45" s="517"/>
      <c r="D45" s="518"/>
      <c r="E45" s="518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55"/>
      <c r="R45" s="55"/>
      <c r="S45" s="519"/>
    </row>
    <row r="46" spans="1:19" s="85" customFormat="1" ht="15" hidden="1" thickBot="1">
      <c r="A46" s="508"/>
      <c r="B46" s="152" t="s">
        <v>30</v>
      </c>
      <c r="C46" s="510"/>
      <c r="D46" s="512"/>
      <c r="E46" s="512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514"/>
    </row>
    <row r="47" spans="1:19" s="85" customFormat="1" ht="15" hidden="1" thickBot="1">
      <c r="A47" s="509"/>
      <c r="B47" s="152" t="s">
        <v>32</v>
      </c>
      <c r="C47" s="511"/>
      <c r="D47" s="513"/>
      <c r="E47" s="51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4"/>
      <c r="R47" s="154"/>
      <c r="S47" s="515"/>
    </row>
    <row r="48" spans="1:19" s="85" customFormat="1" ht="15" hidden="1" thickBot="1">
      <c r="A48" s="516"/>
      <c r="B48" s="155" t="s">
        <v>119</v>
      </c>
      <c r="C48" s="517"/>
      <c r="D48" s="518"/>
      <c r="E48" s="518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55"/>
      <c r="R48" s="55"/>
      <c r="S48" s="519"/>
    </row>
    <row r="49" spans="1:20" s="85" customFormat="1" ht="15" hidden="1" thickBot="1">
      <c r="A49" s="508"/>
      <c r="B49" s="152"/>
      <c r="C49" s="510"/>
      <c r="D49" s="512"/>
      <c r="E49" s="512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514"/>
    </row>
    <row r="50" spans="1:20" s="85" customFormat="1" ht="15" hidden="1" thickBot="1">
      <c r="A50" s="508"/>
      <c r="B50" s="157"/>
      <c r="C50" s="510"/>
      <c r="D50" s="512"/>
      <c r="E50" s="512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95"/>
      <c r="R50" s="95"/>
      <c r="S50" s="514"/>
    </row>
    <row r="51" spans="1:20" s="86" customFormat="1" ht="28.5" customHeight="1" thickBot="1">
      <c r="A51" s="139" t="s">
        <v>120</v>
      </c>
      <c r="B51" s="506" t="s">
        <v>121</v>
      </c>
      <c r="C51" s="506"/>
      <c r="D51" s="506"/>
      <c r="E51" s="506"/>
      <c r="F51" s="140">
        <f>F52+F63</f>
        <v>18342698</v>
      </c>
      <c r="G51" s="140">
        <f t="shared" ref="G51:S51" si="9">G52+G63</f>
        <v>0</v>
      </c>
      <c r="H51" s="140">
        <f t="shared" si="9"/>
        <v>1349733</v>
      </c>
      <c r="I51" s="140">
        <f t="shared" si="9"/>
        <v>1206901</v>
      </c>
      <c r="J51" s="140">
        <f t="shared" si="9"/>
        <v>1606019</v>
      </c>
      <c r="K51" s="140">
        <f t="shared" si="9"/>
        <v>2019187</v>
      </c>
      <c r="L51" s="140">
        <f t="shared" si="9"/>
        <v>2011481</v>
      </c>
      <c r="M51" s="140">
        <f t="shared" si="9"/>
        <v>1209000</v>
      </c>
      <c r="N51" s="140">
        <f t="shared" si="9"/>
        <v>1261000</v>
      </c>
      <c r="O51" s="140">
        <f t="shared" si="9"/>
        <v>1350500</v>
      </c>
      <c r="P51" s="140">
        <f t="shared" si="9"/>
        <v>1477000</v>
      </c>
      <c r="Q51" s="140">
        <f t="shared" si="9"/>
        <v>1077000</v>
      </c>
      <c r="R51" s="140">
        <f t="shared" si="9"/>
        <v>1077000</v>
      </c>
      <c r="S51" s="141">
        <f t="shared" si="9"/>
        <v>14295088</v>
      </c>
    </row>
    <row r="52" spans="1:20" s="88" customFormat="1" ht="15" thickBot="1">
      <c r="A52" s="159" t="s">
        <v>122</v>
      </c>
      <c r="B52" s="520" t="s">
        <v>30</v>
      </c>
      <c r="C52" s="520"/>
      <c r="D52" s="520"/>
      <c r="E52" s="520"/>
      <c r="F52" s="160">
        <f t="shared" ref="F52:H52" si="10">SUM(F53:F62)</f>
        <v>625000</v>
      </c>
      <c r="G52" s="160">
        <f t="shared" si="10"/>
        <v>0</v>
      </c>
      <c r="H52" s="160">
        <f t="shared" si="10"/>
        <v>0</v>
      </c>
      <c r="I52" s="160">
        <f>SUM(I53:I62)</f>
        <v>5000</v>
      </c>
      <c r="J52" s="160">
        <f t="shared" ref="J52:S52" si="11">SUM(J53:J62)</f>
        <v>70000</v>
      </c>
      <c r="K52" s="160">
        <f t="shared" si="11"/>
        <v>139000</v>
      </c>
      <c r="L52" s="160">
        <f t="shared" si="11"/>
        <v>139000</v>
      </c>
      <c r="M52" s="160">
        <f t="shared" si="11"/>
        <v>139000</v>
      </c>
      <c r="N52" s="160">
        <f t="shared" si="11"/>
        <v>41000</v>
      </c>
      <c r="O52" s="160">
        <f t="shared" si="11"/>
        <v>41000</v>
      </c>
      <c r="P52" s="160">
        <f t="shared" si="11"/>
        <v>17000</v>
      </c>
      <c r="Q52" s="160">
        <f t="shared" si="11"/>
        <v>17000</v>
      </c>
      <c r="R52" s="171">
        <f t="shared" si="11"/>
        <v>17000</v>
      </c>
      <c r="S52" s="161">
        <f t="shared" si="11"/>
        <v>625000</v>
      </c>
      <c r="T52" s="87"/>
    </row>
    <row r="53" spans="1:20" s="85" customFormat="1" ht="120">
      <c r="A53" s="173" t="s">
        <v>123</v>
      </c>
      <c r="B53" s="168" t="s">
        <v>124</v>
      </c>
      <c r="C53" s="116" t="s">
        <v>125</v>
      </c>
      <c r="D53" s="169">
        <v>2015</v>
      </c>
      <c r="E53" s="169">
        <v>2023</v>
      </c>
      <c r="F53" s="170">
        <v>100000</v>
      </c>
      <c r="G53" s="154"/>
      <c r="H53" s="154"/>
      <c r="I53" s="176" t="s">
        <v>196</v>
      </c>
      <c r="J53" s="154">
        <v>10000</v>
      </c>
      <c r="K53" s="154">
        <v>10000</v>
      </c>
      <c r="L53" s="154">
        <v>10000</v>
      </c>
      <c r="M53" s="154">
        <v>10000</v>
      </c>
      <c r="N53" s="154">
        <v>12000</v>
      </c>
      <c r="O53" s="154">
        <v>12000</v>
      </c>
      <c r="P53" s="154">
        <v>12000</v>
      </c>
      <c r="Q53" s="154">
        <v>12000</v>
      </c>
      <c r="R53" s="154">
        <v>12000</v>
      </c>
      <c r="S53" s="174">
        <f t="shared" ref="S53:S62" si="12">SUM(I53:R53)</f>
        <v>100000</v>
      </c>
    </row>
    <row r="54" spans="1:20" s="85" customFormat="1" ht="72">
      <c r="A54" s="163" t="s">
        <v>126</v>
      </c>
      <c r="B54" s="89" t="s">
        <v>127</v>
      </c>
      <c r="C54" s="44" t="s">
        <v>128</v>
      </c>
      <c r="D54" s="90">
        <v>2015</v>
      </c>
      <c r="E54" s="90">
        <v>2018</v>
      </c>
      <c r="F54" s="91">
        <v>200000</v>
      </c>
      <c r="G54" s="92"/>
      <c r="H54" s="92"/>
      <c r="I54" s="176" t="s">
        <v>196</v>
      </c>
      <c r="J54" s="92">
        <v>25000</v>
      </c>
      <c r="K54" s="74">
        <v>25000</v>
      </c>
      <c r="L54" s="92">
        <v>50000</v>
      </c>
      <c r="M54" s="92">
        <v>100000</v>
      </c>
      <c r="N54" s="56" t="s">
        <v>37</v>
      </c>
      <c r="O54" s="56" t="s">
        <v>37</v>
      </c>
      <c r="P54" s="56" t="s">
        <v>37</v>
      </c>
      <c r="Q54" s="56" t="s">
        <v>37</v>
      </c>
      <c r="R54" s="56" t="s">
        <v>37</v>
      </c>
      <c r="S54" s="26">
        <f t="shared" si="12"/>
        <v>200000</v>
      </c>
    </row>
    <row r="55" spans="1:20" s="85" customFormat="1" ht="48">
      <c r="A55" s="163" t="s">
        <v>129</v>
      </c>
      <c r="B55" s="93" t="s">
        <v>130</v>
      </c>
      <c r="C55" s="51" t="s">
        <v>131</v>
      </c>
      <c r="D55" s="94">
        <v>2014</v>
      </c>
      <c r="E55" s="94">
        <v>2023</v>
      </c>
      <c r="F55" s="54">
        <v>50000</v>
      </c>
      <c r="G55" s="55"/>
      <c r="H55" s="55"/>
      <c r="I55" s="55">
        <v>5000</v>
      </c>
      <c r="J55" s="55">
        <v>5000</v>
      </c>
      <c r="K55" s="55">
        <v>5000</v>
      </c>
      <c r="L55" s="55">
        <v>5000</v>
      </c>
      <c r="M55" s="55">
        <v>5000</v>
      </c>
      <c r="N55" s="55">
        <v>5000</v>
      </c>
      <c r="O55" s="55">
        <v>5000</v>
      </c>
      <c r="P55" s="55">
        <v>5000</v>
      </c>
      <c r="Q55" s="55">
        <v>5000</v>
      </c>
      <c r="R55" s="55">
        <v>5000</v>
      </c>
      <c r="S55" s="26">
        <f t="shared" si="12"/>
        <v>50000</v>
      </c>
    </row>
    <row r="56" spans="1:20" s="85" customFormat="1" ht="36">
      <c r="A56" s="163" t="s">
        <v>132</v>
      </c>
      <c r="B56" s="89" t="s">
        <v>133</v>
      </c>
      <c r="C56" s="44" t="s">
        <v>134</v>
      </c>
      <c r="D56" s="90">
        <v>2015</v>
      </c>
      <c r="E56" s="90">
        <v>2016</v>
      </c>
      <c r="F56" s="91">
        <v>50000</v>
      </c>
      <c r="G56" s="92"/>
      <c r="H56" s="92"/>
      <c r="I56" s="176" t="s">
        <v>196</v>
      </c>
      <c r="J56" s="92">
        <v>20000</v>
      </c>
      <c r="K56" s="92">
        <v>30000</v>
      </c>
      <c r="L56" s="56" t="s">
        <v>37</v>
      </c>
      <c r="M56" s="56" t="s">
        <v>37</v>
      </c>
      <c r="N56" s="56" t="s">
        <v>37</v>
      </c>
      <c r="O56" s="56" t="s">
        <v>37</v>
      </c>
      <c r="P56" s="56" t="s">
        <v>37</v>
      </c>
      <c r="Q56" s="56" t="s">
        <v>37</v>
      </c>
      <c r="R56" s="56" t="s">
        <v>37</v>
      </c>
      <c r="S56" s="26">
        <f t="shared" si="12"/>
        <v>50000</v>
      </c>
    </row>
    <row r="57" spans="1:20" s="85" customFormat="1" ht="36">
      <c r="A57" s="163" t="s">
        <v>135</v>
      </c>
      <c r="B57" s="43" t="s">
        <v>45</v>
      </c>
      <c r="C57" s="44" t="s">
        <v>46</v>
      </c>
      <c r="D57" s="45">
        <v>2015</v>
      </c>
      <c r="E57" s="45">
        <v>2020</v>
      </c>
      <c r="F57" s="46">
        <v>30000</v>
      </c>
      <c r="G57" s="47"/>
      <c r="H57" s="47"/>
      <c r="I57" s="48" t="s">
        <v>37</v>
      </c>
      <c r="J57" s="47">
        <v>5000</v>
      </c>
      <c r="K57" s="47">
        <v>5000</v>
      </c>
      <c r="L57" s="47">
        <v>5000</v>
      </c>
      <c r="M57" s="47">
        <v>5000</v>
      </c>
      <c r="N57" s="47">
        <v>5000</v>
      </c>
      <c r="O57" s="47">
        <v>5000</v>
      </c>
      <c r="P57" s="31" t="s">
        <v>37</v>
      </c>
      <c r="Q57" s="31" t="s">
        <v>37</v>
      </c>
      <c r="R57" s="31" t="s">
        <v>37</v>
      </c>
      <c r="S57" s="26">
        <f t="shared" si="12"/>
        <v>30000</v>
      </c>
    </row>
    <row r="58" spans="1:20" s="85" customFormat="1" ht="96">
      <c r="A58" s="163" t="s">
        <v>138</v>
      </c>
      <c r="B58" s="49" t="s">
        <v>47</v>
      </c>
      <c r="C58" s="44" t="s">
        <v>48</v>
      </c>
      <c r="D58" s="45">
        <v>2016</v>
      </c>
      <c r="E58" s="45">
        <v>2020</v>
      </c>
      <c r="F58" s="46">
        <v>15000</v>
      </c>
      <c r="G58" s="32"/>
      <c r="H58" s="32"/>
      <c r="I58" s="31" t="s">
        <v>37</v>
      </c>
      <c r="J58" s="31" t="s">
        <v>37</v>
      </c>
      <c r="K58" s="33">
        <v>3000</v>
      </c>
      <c r="L58" s="33">
        <v>3000</v>
      </c>
      <c r="M58" s="33">
        <v>3000</v>
      </c>
      <c r="N58" s="33">
        <v>3000</v>
      </c>
      <c r="O58" s="33">
        <v>3000</v>
      </c>
      <c r="P58" s="31" t="s">
        <v>37</v>
      </c>
      <c r="Q58" s="31" t="s">
        <v>37</v>
      </c>
      <c r="R58" s="31" t="s">
        <v>37</v>
      </c>
      <c r="S58" s="26">
        <f t="shared" si="12"/>
        <v>15000</v>
      </c>
    </row>
    <row r="59" spans="1:20" s="85" customFormat="1" ht="96">
      <c r="A59" s="163" t="s">
        <v>190</v>
      </c>
      <c r="B59" s="49" t="s">
        <v>49</v>
      </c>
      <c r="C59" s="44" t="s">
        <v>50</v>
      </c>
      <c r="D59" s="45">
        <v>2016</v>
      </c>
      <c r="E59" s="45">
        <v>2020</v>
      </c>
      <c r="F59" s="46">
        <v>15000</v>
      </c>
      <c r="G59" s="32"/>
      <c r="H59" s="32"/>
      <c r="I59" s="31" t="s">
        <v>37</v>
      </c>
      <c r="J59" s="31" t="s">
        <v>37</v>
      </c>
      <c r="K59" s="33">
        <v>3000</v>
      </c>
      <c r="L59" s="33">
        <v>3000</v>
      </c>
      <c r="M59" s="33">
        <v>3000</v>
      </c>
      <c r="N59" s="33">
        <v>3000</v>
      </c>
      <c r="O59" s="33">
        <v>3000</v>
      </c>
      <c r="P59" s="31" t="s">
        <v>37</v>
      </c>
      <c r="Q59" s="31" t="s">
        <v>37</v>
      </c>
      <c r="R59" s="31" t="s">
        <v>37</v>
      </c>
      <c r="S59" s="162">
        <f t="shared" si="12"/>
        <v>15000</v>
      </c>
    </row>
    <row r="60" spans="1:20" s="85" customFormat="1" ht="108">
      <c r="A60" s="172" t="s">
        <v>191</v>
      </c>
      <c r="B60" s="50" t="s">
        <v>51</v>
      </c>
      <c r="C60" s="51" t="s">
        <v>52</v>
      </c>
      <c r="D60" s="37">
        <v>2016</v>
      </c>
      <c r="E60" s="37">
        <v>2020</v>
      </c>
      <c r="F60" s="52">
        <v>15000</v>
      </c>
      <c r="G60" s="47"/>
      <c r="H60" s="47"/>
      <c r="I60" s="48" t="s">
        <v>37</v>
      </c>
      <c r="J60" s="48" t="s">
        <v>37</v>
      </c>
      <c r="K60" s="53">
        <v>3000</v>
      </c>
      <c r="L60" s="53">
        <v>3000</v>
      </c>
      <c r="M60" s="53">
        <v>3000</v>
      </c>
      <c r="N60" s="53">
        <v>3000</v>
      </c>
      <c r="O60" s="53">
        <v>3000</v>
      </c>
      <c r="P60" s="48" t="s">
        <v>37</v>
      </c>
      <c r="Q60" s="48" t="s">
        <v>37</v>
      </c>
      <c r="R60" s="48" t="s">
        <v>37</v>
      </c>
      <c r="S60" s="26">
        <f t="shared" si="12"/>
        <v>15000</v>
      </c>
    </row>
    <row r="61" spans="1:20" s="85" customFormat="1" ht="36">
      <c r="A61" s="163" t="s">
        <v>192</v>
      </c>
      <c r="B61" s="89" t="s">
        <v>136</v>
      </c>
      <c r="C61" s="44" t="s">
        <v>137</v>
      </c>
      <c r="D61" s="90">
        <v>2016</v>
      </c>
      <c r="E61" s="90">
        <v>2017</v>
      </c>
      <c r="F61" s="91">
        <v>100000</v>
      </c>
      <c r="G61" s="92"/>
      <c r="H61" s="92"/>
      <c r="I61" s="62" t="s">
        <v>37</v>
      </c>
      <c r="J61" s="62" t="s">
        <v>37</v>
      </c>
      <c r="K61" s="92">
        <v>50000</v>
      </c>
      <c r="L61" s="64">
        <v>50000</v>
      </c>
      <c r="M61" s="62" t="s">
        <v>37</v>
      </c>
      <c r="N61" s="62" t="s">
        <v>37</v>
      </c>
      <c r="O61" s="62" t="s">
        <v>37</v>
      </c>
      <c r="P61" s="62" t="s">
        <v>37</v>
      </c>
      <c r="Q61" s="62" t="s">
        <v>37</v>
      </c>
      <c r="R61" s="62" t="s">
        <v>37</v>
      </c>
      <c r="S61" s="162">
        <f t="shared" si="12"/>
        <v>100000</v>
      </c>
    </row>
    <row r="62" spans="1:20" s="85" customFormat="1" ht="36">
      <c r="A62" s="163" t="s">
        <v>193</v>
      </c>
      <c r="B62" s="166" t="s">
        <v>139</v>
      </c>
      <c r="C62" s="44" t="s">
        <v>140</v>
      </c>
      <c r="D62" s="260">
        <v>2015</v>
      </c>
      <c r="E62" s="260">
        <v>2019</v>
      </c>
      <c r="F62" s="91">
        <v>50000</v>
      </c>
      <c r="G62" s="92"/>
      <c r="H62" s="92"/>
      <c r="I62" s="62" t="s">
        <v>37</v>
      </c>
      <c r="J62" s="64">
        <v>5000</v>
      </c>
      <c r="K62" s="64">
        <v>5000</v>
      </c>
      <c r="L62" s="64">
        <v>10000</v>
      </c>
      <c r="M62" s="64">
        <v>10000</v>
      </c>
      <c r="N62" s="64">
        <v>10000</v>
      </c>
      <c r="O62" s="64">
        <v>10000</v>
      </c>
      <c r="P62" s="62" t="s">
        <v>37</v>
      </c>
      <c r="Q62" s="62" t="s">
        <v>37</v>
      </c>
      <c r="R62" s="62" t="s">
        <v>37</v>
      </c>
      <c r="S62" s="162">
        <f t="shared" si="12"/>
        <v>50000</v>
      </c>
    </row>
    <row r="63" spans="1:20" s="88" customFormat="1" ht="15" thickBot="1">
      <c r="A63" s="257" t="s">
        <v>141</v>
      </c>
      <c r="B63" s="521" t="s">
        <v>32</v>
      </c>
      <c r="C63" s="521"/>
      <c r="D63" s="521"/>
      <c r="E63" s="521"/>
      <c r="F63" s="258">
        <f t="shared" ref="F63:H63" si="13">SUM(F70:F87)</f>
        <v>17717698</v>
      </c>
      <c r="G63" s="258">
        <f t="shared" si="13"/>
        <v>0</v>
      </c>
      <c r="H63" s="258">
        <f t="shared" si="13"/>
        <v>1349733</v>
      </c>
      <c r="I63" s="258">
        <f>SUM(I70:I87)</f>
        <v>1201901</v>
      </c>
      <c r="J63" s="258">
        <f t="shared" ref="J63:R63" si="14">SUM(J70:J87)</f>
        <v>1536019</v>
      </c>
      <c r="K63" s="258">
        <f t="shared" si="14"/>
        <v>1880187</v>
      </c>
      <c r="L63" s="258">
        <f t="shared" si="14"/>
        <v>1872481</v>
      </c>
      <c r="M63" s="258">
        <f t="shared" si="14"/>
        <v>1070000</v>
      </c>
      <c r="N63" s="258">
        <f t="shared" si="14"/>
        <v>1220000</v>
      </c>
      <c r="O63" s="258">
        <f t="shared" si="14"/>
        <v>1309500</v>
      </c>
      <c r="P63" s="258">
        <f t="shared" si="14"/>
        <v>1460000</v>
      </c>
      <c r="Q63" s="258">
        <f t="shared" si="14"/>
        <v>1060000</v>
      </c>
      <c r="R63" s="258">
        <f t="shared" si="14"/>
        <v>1060000</v>
      </c>
      <c r="S63" s="259">
        <f>SUM(S70:S87)</f>
        <v>13670088</v>
      </c>
    </row>
    <row r="64" spans="1:20" s="57" customFormat="1" ht="18" hidden="1" customHeight="1">
      <c r="A64" s="522"/>
      <c r="B64" s="96" t="s">
        <v>142</v>
      </c>
      <c r="C64" s="524" t="s">
        <v>43</v>
      </c>
      <c r="D64" s="527">
        <v>2020</v>
      </c>
      <c r="E64" s="527">
        <v>2021</v>
      </c>
      <c r="F64" s="97">
        <f t="shared" ref="F64:P64" si="15">SUM(F65:F66)</f>
        <v>0</v>
      </c>
      <c r="G64" s="98">
        <f t="shared" si="15"/>
        <v>0</v>
      </c>
      <c r="H64" s="98">
        <f t="shared" si="15"/>
        <v>0</v>
      </c>
      <c r="I64" s="98">
        <f t="shared" si="15"/>
        <v>0</v>
      </c>
      <c r="J64" s="98">
        <f t="shared" si="15"/>
        <v>0</v>
      </c>
      <c r="K64" s="98">
        <f t="shared" si="15"/>
        <v>0</v>
      </c>
      <c r="L64" s="98">
        <f t="shared" si="15"/>
        <v>0</v>
      </c>
      <c r="M64" s="98">
        <f t="shared" si="15"/>
        <v>0</v>
      </c>
      <c r="N64" s="98">
        <f t="shared" si="15"/>
        <v>0</v>
      </c>
      <c r="O64" s="98">
        <f t="shared" si="15"/>
        <v>0</v>
      </c>
      <c r="P64" s="98">
        <f t="shared" si="15"/>
        <v>0</v>
      </c>
      <c r="Q64" s="99"/>
      <c r="R64" s="99"/>
      <c r="S64" s="531">
        <f>SUM(F64)</f>
        <v>0</v>
      </c>
    </row>
    <row r="65" spans="1:19" s="15" customFormat="1" ht="15" hidden="1" thickBot="1">
      <c r="A65" s="522"/>
      <c r="B65" s="100" t="s">
        <v>30</v>
      </c>
      <c r="C65" s="525"/>
      <c r="D65" s="528"/>
      <c r="E65" s="528"/>
      <c r="F65" s="101">
        <f>SUM(G65:P65)</f>
        <v>0</v>
      </c>
      <c r="G65" s="101">
        <v>0</v>
      </c>
      <c r="H65" s="101">
        <v>0</v>
      </c>
      <c r="I65" s="101">
        <v>0</v>
      </c>
      <c r="J65" s="101">
        <v>0</v>
      </c>
      <c r="K65" s="101">
        <v>0</v>
      </c>
      <c r="L65" s="101">
        <v>0</v>
      </c>
      <c r="M65" s="101">
        <v>0</v>
      </c>
      <c r="N65" s="101">
        <v>0</v>
      </c>
      <c r="O65" s="101">
        <v>0</v>
      </c>
      <c r="P65" s="101">
        <v>0</v>
      </c>
      <c r="Q65" s="99"/>
      <c r="R65" s="99"/>
      <c r="S65" s="531"/>
    </row>
    <row r="66" spans="1:19" s="15" customFormat="1" ht="15" hidden="1" thickBot="1">
      <c r="A66" s="523"/>
      <c r="B66" s="102" t="s">
        <v>32</v>
      </c>
      <c r="C66" s="526"/>
      <c r="D66" s="529"/>
      <c r="E66" s="529"/>
      <c r="F66" s="103">
        <f>SUM(G66:P66)</f>
        <v>0</v>
      </c>
      <c r="G66" s="103">
        <v>0</v>
      </c>
      <c r="H66" s="103">
        <v>0</v>
      </c>
      <c r="I66" s="103">
        <v>0</v>
      </c>
      <c r="J66" s="103">
        <v>0</v>
      </c>
      <c r="K66" s="103">
        <v>0</v>
      </c>
      <c r="L66" s="103">
        <v>0</v>
      </c>
      <c r="M66" s="103">
        <v>0</v>
      </c>
      <c r="N66" s="103">
        <v>0</v>
      </c>
      <c r="O66" s="103"/>
      <c r="P66" s="103"/>
      <c r="Q66" s="104"/>
      <c r="R66" s="104"/>
      <c r="S66" s="532"/>
    </row>
    <row r="67" spans="1:19" s="15" customFormat="1" ht="27.75" hidden="1" customHeight="1">
      <c r="A67" s="533"/>
      <c r="B67" s="105" t="s">
        <v>143</v>
      </c>
      <c r="C67" s="534" t="s">
        <v>43</v>
      </c>
      <c r="D67" s="536">
        <v>2014</v>
      </c>
      <c r="E67" s="536">
        <v>2014</v>
      </c>
      <c r="F67" s="106">
        <f t="shared" ref="F67:P67" si="16">SUM(F68:F69)</f>
        <v>0</v>
      </c>
      <c r="G67" s="107">
        <f t="shared" si="16"/>
        <v>0</v>
      </c>
      <c r="H67" s="107">
        <f t="shared" si="16"/>
        <v>0</v>
      </c>
      <c r="I67" s="107">
        <f t="shared" si="16"/>
        <v>0</v>
      </c>
      <c r="J67" s="107">
        <f t="shared" si="16"/>
        <v>0</v>
      </c>
      <c r="K67" s="107">
        <f t="shared" si="16"/>
        <v>0</v>
      </c>
      <c r="L67" s="107">
        <f t="shared" si="16"/>
        <v>0</v>
      </c>
      <c r="M67" s="107">
        <f t="shared" si="16"/>
        <v>0</v>
      </c>
      <c r="N67" s="107">
        <f t="shared" si="16"/>
        <v>0</v>
      </c>
      <c r="O67" s="107">
        <f t="shared" si="16"/>
        <v>0</v>
      </c>
      <c r="P67" s="107">
        <f t="shared" si="16"/>
        <v>0</v>
      </c>
      <c r="Q67" s="108"/>
      <c r="R67" s="108"/>
      <c r="S67" s="539">
        <f>SUM(F67)</f>
        <v>0</v>
      </c>
    </row>
    <row r="68" spans="1:19" s="15" customFormat="1" ht="15" hidden="1" thickBot="1">
      <c r="A68" s="522"/>
      <c r="B68" s="100" t="s">
        <v>30</v>
      </c>
      <c r="C68" s="535"/>
      <c r="D68" s="537"/>
      <c r="E68" s="537"/>
      <c r="F68" s="101">
        <f>SUM(G68:P68)</f>
        <v>0</v>
      </c>
      <c r="G68" s="101">
        <v>0</v>
      </c>
      <c r="H68" s="101">
        <v>0</v>
      </c>
      <c r="I68" s="101">
        <v>0</v>
      </c>
      <c r="J68" s="101">
        <v>0</v>
      </c>
      <c r="K68" s="101">
        <v>0</v>
      </c>
      <c r="L68" s="101">
        <v>0</v>
      </c>
      <c r="M68" s="101">
        <v>0</v>
      </c>
      <c r="N68" s="101">
        <v>0</v>
      </c>
      <c r="O68" s="101">
        <v>0</v>
      </c>
      <c r="P68" s="101">
        <v>0</v>
      </c>
      <c r="Q68" s="99"/>
      <c r="R68" s="99"/>
      <c r="S68" s="531"/>
    </row>
    <row r="69" spans="1:19" s="15" customFormat="1" ht="15" hidden="1" thickBot="1">
      <c r="A69" s="522"/>
      <c r="B69" s="102" t="s">
        <v>32</v>
      </c>
      <c r="C69" s="535"/>
      <c r="D69" s="538"/>
      <c r="E69" s="538"/>
      <c r="F69" s="103">
        <f>SUM(G69:P69)</f>
        <v>0</v>
      </c>
      <c r="G69" s="103">
        <v>0</v>
      </c>
      <c r="H69" s="103">
        <v>0</v>
      </c>
      <c r="I69" s="103"/>
      <c r="J69" s="103">
        <v>0</v>
      </c>
      <c r="K69" s="103">
        <v>0</v>
      </c>
      <c r="L69" s="103">
        <v>0</v>
      </c>
      <c r="M69" s="103">
        <v>0</v>
      </c>
      <c r="N69" s="103">
        <v>0</v>
      </c>
      <c r="O69" s="103">
        <v>0</v>
      </c>
      <c r="P69" s="103">
        <v>0</v>
      </c>
      <c r="Q69" s="104"/>
      <c r="R69" s="104"/>
      <c r="S69" s="532"/>
    </row>
    <row r="70" spans="1:19" s="42" customFormat="1" ht="36.75" customHeight="1">
      <c r="A70" s="109" t="s">
        <v>144</v>
      </c>
      <c r="B70" s="110" t="s">
        <v>145</v>
      </c>
      <c r="C70" s="51" t="s">
        <v>146</v>
      </c>
      <c r="D70" s="261">
        <v>2015</v>
      </c>
      <c r="E70" s="261">
        <v>2016</v>
      </c>
      <c r="F70" s="111">
        <v>300000</v>
      </c>
      <c r="G70" s="112"/>
      <c r="H70" s="113">
        <v>300000</v>
      </c>
      <c r="I70" s="113" t="s">
        <v>37</v>
      </c>
      <c r="J70" s="74">
        <v>50000</v>
      </c>
      <c r="K70" s="74">
        <v>250000</v>
      </c>
      <c r="L70" s="74" t="s">
        <v>37</v>
      </c>
      <c r="M70" s="74" t="s">
        <v>37</v>
      </c>
      <c r="N70" s="74" t="s">
        <v>37</v>
      </c>
      <c r="O70" s="74" t="s">
        <v>37</v>
      </c>
      <c r="P70" s="74" t="s">
        <v>37</v>
      </c>
      <c r="Q70" s="74" t="s">
        <v>37</v>
      </c>
      <c r="R70" s="74" t="s">
        <v>37</v>
      </c>
      <c r="S70" s="26">
        <f t="shared" ref="S70:S87" si="17">SUM(I70:R70)</f>
        <v>300000</v>
      </c>
    </row>
    <row r="71" spans="1:19" s="42" customFormat="1" ht="36.75" customHeight="1">
      <c r="A71" s="164" t="s">
        <v>147</v>
      </c>
      <c r="B71" s="58" t="s">
        <v>148</v>
      </c>
      <c r="C71" s="44" t="s">
        <v>149</v>
      </c>
      <c r="D71" s="59">
        <v>2016</v>
      </c>
      <c r="E71" s="59">
        <v>2023</v>
      </c>
      <c r="F71" s="60">
        <v>3000000</v>
      </c>
      <c r="G71" s="63"/>
      <c r="H71" s="64" t="s">
        <v>37</v>
      </c>
      <c r="I71" s="64" t="s">
        <v>37</v>
      </c>
      <c r="J71" s="64" t="s">
        <v>196</v>
      </c>
      <c r="K71" s="64">
        <v>400000</v>
      </c>
      <c r="L71" s="64">
        <v>400000</v>
      </c>
      <c r="M71" s="63">
        <v>300000</v>
      </c>
      <c r="N71" s="64">
        <v>300000</v>
      </c>
      <c r="O71" s="64">
        <v>400000</v>
      </c>
      <c r="P71" s="64">
        <v>400000</v>
      </c>
      <c r="Q71" s="64">
        <v>400000</v>
      </c>
      <c r="R71" s="64">
        <v>400000</v>
      </c>
      <c r="S71" s="162">
        <f t="shared" si="17"/>
        <v>3000000</v>
      </c>
    </row>
    <row r="72" spans="1:19" s="42" customFormat="1" ht="50.25" customHeight="1">
      <c r="A72" s="114" t="s">
        <v>150</v>
      </c>
      <c r="B72" s="115" t="s">
        <v>195</v>
      </c>
      <c r="C72" s="116" t="s">
        <v>151</v>
      </c>
      <c r="D72" s="117">
        <v>2017</v>
      </c>
      <c r="E72" s="117">
        <v>2020</v>
      </c>
      <c r="F72" s="118">
        <v>100000</v>
      </c>
      <c r="G72" s="119"/>
      <c r="H72" s="120" t="s">
        <v>37</v>
      </c>
      <c r="I72" s="120" t="s">
        <v>37</v>
      </c>
      <c r="J72" s="120" t="s">
        <v>37</v>
      </c>
      <c r="K72" s="120" t="s">
        <v>37</v>
      </c>
      <c r="L72" s="120">
        <v>10000</v>
      </c>
      <c r="M72" s="120">
        <v>30000</v>
      </c>
      <c r="N72" s="120">
        <v>30000</v>
      </c>
      <c r="O72" s="120">
        <v>30000</v>
      </c>
      <c r="P72" s="120" t="s">
        <v>37</v>
      </c>
      <c r="Q72" s="120" t="s">
        <v>37</v>
      </c>
      <c r="R72" s="120" t="s">
        <v>37</v>
      </c>
      <c r="S72" s="121">
        <f t="shared" si="17"/>
        <v>100000</v>
      </c>
    </row>
    <row r="73" spans="1:19" s="42" customFormat="1" ht="38.25" customHeight="1">
      <c r="A73" s="109" t="s">
        <v>152</v>
      </c>
      <c r="B73" s="58" t="s">
        <v>153</v>
      </c>
      <c r="C73" s="44" t="s">
        <v>154</v>
      </c>
      <c r="D73" s="122">
        <v>2014</v>
      </c>
      <c r="E73" s="122">
        <v>2023</v>
      </c>
      <c r="F73" s="123">
        <v>550000</v>
      </c>
      <c r="G73" s="73"/>
      <c r="H73" s="124"/>
      <c r="I73" s="120">
        <v>38130</v>
      </c>
      <c r="J73" s="124">
        <v>26870</v>
      </c>
      <c r="K73" s="124">
        <v>65000</v>
      </c>
      <c r="L73" s="124">
        <v>60000</v>
      </c>
      <c r="M73" s="124">
        <v>60000</v>
      </c>
      <c r="N73" s="124">
        <v>60000</v>
      </c>
      <c r="O73" s="124">
        <v>60000</v>
      </c>
      <c r="P73" s="124">
        <v>60000</v>
      </c>
      <c r="Q73" s="124">
        <v>60000</v>
      </c>
      <c r="R73" s="124">
        <v>60000</v>
      </c>
      <c r="S73" s="26">
        <f t="shared" si="17"/>
        <v>550000</v>
      </c>
    </row>
    <row r="74" spans="1:19" s="42" customFormat="1" ht="84">
      <c r="A74" s="109" t="s">
        <v>155</v>
      </c>
      <c r="B74" s="58" t="s">
        <v>194</v>
      </c>
      <c r="C74" s="78" t="s">
        <v>156</v>
      </c>
      <c r="D74" s="59">
        <v>2017</v>
      </c>
      <c r="E74" s="59">
        <v>2019</v>
      </c>
      <c r="F74" s="60">
        <v>350000</v>
      </c>
      <c r="G74" s="63"/>
      <c r="H74" s="64">
        <v>0</v>
      </c>
      <c r="I74" s="64">
        <v>0</v>
      </c>
      <c r="J74" s="64">
        <v>0</v>
      </c>
      <c r="K74" s="64" t="s">
        <v>196</v>
      </c>
      <c r="L74" s="64">
        <v>100000</v>
      </c>
      <c r="M74" s="63">
        <v>100000</v>
      </c>
      <c r="N74" s="64">
        <v>150000</v>
      </c>
      <c r="O74" s="64">
        <v>0</v>
      </c>
      <c r="P74" s="64">
        <v>0</v>
      </c>
      <c r="Q74" s="64">
        <v>0</v>
      </c>
      <c r="R74" s="64">
        <v>0</v>
      </c>
      <c r="S74" s="26">
        <f t="shared" si="17"/>
        <v>350000</v>
      </c>
    </row>
    <row r="75" spans="1:19" s="34" customFormat="1" ht="36" customHeight="1">
      <c r="A75" s="109" t="s">
        <v>157</v>
      </c>
      <c r="B75" s="58" t="s">
        <v>158</v>
      </c>
      <c r="C75" s="44" t="s">
        <v>159</v>
      </c>
      <c r="D75" s="59">
        <v>2010</v>
      </c>
      <c r="E75" s="59">
        <v>2023</v>
      </c>
      <c r="F75" s="60">
        <v>4080000</v>
      </c>
      <c r="G75" s="63"/>
      <c r="H75" s="63">
        <v>80000</v>
      </c>
      <c r="I75" s="64">
        <v>60954</v>
      </c>
      <c r="J75" s="64">
        <v>187046</v>
      </c>
      <c r="K75" s="64">
        <v>200000</v>
      </c>
      <c r="L75" s="64">
        <v>372000</v>
      </c>
      <c r="M75" s="64">
        <v>400000</v>
      </c>
      <c r="N75" s="64">
        <v>500000</v>
      </c>
      <c r="O75" s="64">
        <v>500000</v>
      </c>
      <c r="P75" s="64">
        <v>500000</v>
      </c>
      <c r="Q75" s="64">
        <v>600000</v>
      </c>
      <c r="R75" s="64">
        <v>600000</v>
      </c>
      <c r="S75" s="26">
        <f t="shared" si="17"/>
        <v>3920000</v>
      </c>
    </row>
    <row r="76" spans="1:19" s="42" customFormat="1" ht="30.75" customHeight="1">
      <c r="A76" s="109" t="s">
        <v>160</v>
      </c>
      <c r="B76" s="58" t="s">
        <v>161</v>
      </c>
      <c r="C76" s="44" t="s">
        <v>43</v>
      </c>
      <c r="D76" s="59">
        <v>2007</v>
      </c>
      <c r="E76" s="59">
        <v>2017</v>
      </c>
      <c r="F76" s="60">
        <v>748924</v>
      </c>
      <c r="G76" s="63"/>
      <c r="H76" s="63">
        <v>105779</v>
      </c>
      <c r="I76" s="63">
        <v>97980</v>
      </c>
      <c r="J76" s="63">
        <v>92100</v>
      </c>
      <c r="K76" s="63">
        <v>87300</v>
      </c>
      <c r="L76" s="63">
        <v>32467</v>
      </c>
      <c r="M76" s="64" t="s">
        <v>37</v>
      </c>
      <c r="N76" s="64" t="s">
        <v>37</v>
      </c>
      <c r="O76" s="64" t="s">
        <v>37</v>
      </c>
      <c r="P76" s="64" t="s">
        <v>37</v>
      </c>
      <c r="Q76" s="64" t="s">
        <v>37</v>
      </c>
      <c r="R76" s="64" t="s">
        <v>37</v>
      </c>
      <c r="S76" s="26">
        <f t="shared" si="17"/>
        <v>309847</v>
      </c>
    </row>
    <row r="77" spans="1:19" s="42" customFormat="1" ht="135.75" customHeight="1">
      <c r="A77" s="109" t="s">
        <v>162</v>
      </c>
      <c r="B77" s="58" t="s">
        <v>163</v>
      </c>
      <c r="C77" s="44" t="s">
        <v>164</v>
      </c>
      <c r="D77" s="59">
        <v>2007</v>
      </c>
      <c r="E77" s="59">
        <v>2021</v>
      </c>
      <c r="F77" s="60">
        <v>1582500</v>
      </c>
      <c r="G77" s="63"/>
      <c r="H77" s="63">
        <v>120000</v>
      </c>
      <c r="I77" s="63">
        <v>260500</v>
      </c>
      <c r="J77" s="63">
        <v>100000</v>
      </c>
      <c r="K77" s="63">
        <v>100000</v>
      </c>
      <c r="L77" s="63">
        <v>200000</v>
      </c>
      <c r="M77" s="63">
        <v>100000</v>
      </c>
      <c r="N77" s="63">
        <v>100000</v>
      </c>
      <c r="O77" s="63">
        <v>169500</v>
      </c>
      <c r="P77" s="63">
        <v>200000</v>
      </c>
      <c r="Q77" s="64" t="s">
        <v>37</v>
      </c>
      <c r="R77" s="64" t="s">
        <v>37</v>
      </c>
      <c r="S77" s="26">
        <f t="shared" si="17"/>
        <v>1230000</v>
      </c>
    </row>
    <row r="78" spans="1:19" s="34" customFormat="1" ht="54.75" customHeight="1">
      <c r="A78" s="109" t="s">
        <v>165</v>
      </c>
      <c r="B78" s="58" t="s">
        <v>166</v>
      </c>
      <c r="C78" s="44" t="s">
        <v>167</v>
      </c>
      <c r="D78" s="59">
        <v>2016</v>
      </c>
      <c r="E78" s="59">
        <v>2017</v>
      </c>
      <c r="F78" s="60">
        <v>300000</v>
      </c>
      <c r="G78" s="63"/>
      <c r="H78" s="64" t="s">
        <v>37</v>
      </c>
      <c r="I78" s="64" t="s">
        <v>196</v>
      </c>
      <c r="J78" s="64" t="s">
        <v>196</v>
      </c>
      <c r="K78" s="64">
        <v>50000</v>
      </c>
      <c r="L78" s="63">
        <v>250000</v>
      </c>
      <c r="M78" s="64" t="s">
        <v>37</v>
      </c>
      <c r="N78" s="64" t="s">
        <v>37</v>
      </c>
      <c r="O78" s="64" t="s">
        <v>37</v>
      </c>
      <c r="P78" s="64" t="s">
        <v>37</v>
      </c>
      <c r="Q78" s="64" t="s">
        <v>37</v>
      </c>
      <c r="R78" s="64" t="s">
        <v>37</v>
      </c>
      <c r="S78" s="26">
        <f t="shared" si="17"/>
        <v>300000</v>
      </c>
    </row>
    <row r="79" spans="1:19" s="42" customFormat="1" ht="28.5" customHeight="1">
      <c r="A79" s="164" t="s">
        <v>168</v>
      </c>
      <c r="B79" s="58" t="s">
        <v>169</v>
      </c>
      <c r="C79" s="44" t="s">
        <v>43</v>
      </c>
      <c r="D79" s="59">
        <v>2007</v>
      </c>
      <c r="E79" s="59">
        <v>2017</v>
      </c>
      <c r="F79" s="60">
        <v>3271193</v>
      </c>
      <c r="G79" s="63"/>
      <c r="H79" s="63">
        <v>444730</v>
      </c>
      <c r="I79" s="63">
        <v>411600</v>
      </c>
      <c r="J79" s="63">
        <v>391746</v>
      </c>
      <c r="K79" s="63">
        <v>381074</v>
      </c>
      <c r="L79" s="63">
        <v>121201</v>
      </c>
      <c r="M79" s="64" t="s">
        <v>37</v>
      </c>
      <c r="N79" s="64" t="s">
        <v>37</v>
      </c>
      <c r="O79" s="64" t="s">
        <v>37</v>
      </c>
      <c r="P79" s="64" t="s">
        <v>37</v>
      </c>
      <c r="Q79" s="64" t="s">
        <v>37</v>
      </c>
      <c r="R79" s="64" t="s">
        <v>37</v>
      </c>
      <c r="S79" s="162">
        <f t="shared" si="17"/>
        <v>1305621</v>
      </c>
    </row>
    <row r="80" spans="1:19" s="42" customFormat="1" ht="42" customHeight="1">
      <c r="A80" s="164" t="s">
        <v>170</v>
      </c>
      <c r="B80" s="58" t="s">
        <v>171</v>
      </c>
      <c r="C80" s="44" t="s">
        <v>43</v>
      </c>
      <c r="D80" s="59">
        <v>2007</v>
      </c>
      <c r="E80" s="59">
        <v>2017</v>
      </c>
      <c r="F80" s="60">
        <v>963484</v>
      </c>
      <c r="G80" s="63"/>
      <c r="H80" s="63">
        <v>130614</v>
      </c>
      <c r="I80" s="63">
        <v>120880</v>
      </c>
      <c r="J80" s="63">
        <v>116613</v>
      </c>
      <c r="K80" s="63">
        <v>111919</v>
      </c>
      <c r="L80" s="63">
        <v>35590</v>
      </c>
      <c r="M80" s="64" t="s">
        <v>37</v>
      </c>
      <c r="N80" s="64" t="s">
        <v>37</v>
      </c>
      <c r="O80" s="64" t="s">
        <v>37</v>
      </c>
      <c r="P80" s="64" t="s">
        <v>37</v>
      </c>
      <c r="Q80" s="64" t="s">
        <v>37</v>
      </c>
      <c r="R80" s="64" t="s">
        <v>37</v>
      </c>
      <c r="S80" s="162">
        <f t="shared" si="17"/>
        <v>385002</v>
      </c>
    </row>
    <row r="81" spans="1:20" s="42" customFormat="1" ht="60.75" customHeight="1">
      <c r="A81" s="109" t="s">
        <v>172</v>
      </c>
      <c r="B81" s="58" t="s">
        <v>616</v>
      </c>
      <c r="C81" s="44" t="s">
        <v>43</v>
      </c>
      <c r="D81" s="59">
        <v>2014</v>
      </c>
      <c r="E81" s="59">
        <v>2015</v>
      </c>
      <c r="F81" s="60">
        <v>376475</v>
      </c>
      <c r="G81" s="63"/>
      <c r="H81" s="63"/>
      <c r="I81" s="63">
        <v>50000</v>
      </c>
      <c r="J81" s="63">
        <v>326475</v>
      </c>
      <c r="K81" s="64" t="s">
        <v>37</v>
      </c>
      <c r="L81" s="64" t="s">
        <v>37</v>
      </c>
      <c r="M81" s="64" t="s">
        <v>37</v>
      </c>
      <c r="N81" s="64" t="s">
        <v>37</v>
      </c>
      <c r="O81" s="64" t="s">
        <v>37</v>
      </c>
      <c r="P81" s="64" t="s">
        <v>37</v>
      </c>
      <c r="Q81" s="64" t="s">
        <v>37</v>
      </c>
      <c r="R81" s="64" t="s">
        <v>37</v>
      </c>
      <c r="S81" s="262">
        <f t="shared" si="17"/>
        <v>376475</v>
      </c>
      <c r="T81" s="263"/>
    </row>
    <row r="82" spans="1:20" s="42" customFormat="1" ht="46.5" customHeight="1">
      <c r="A82" s="109" t="s">
        <v>175</v>
      </c>
      <c r="B82" s="58" t="s">
        <v>173</v>
      </c>
      <c r="C82" s="44" t="s">
        <v>174</v>
      </c>
      <c r="D82" s="59">
        <v>2014</v>
      </c>
      <c r="E82" s="59">
        <v>2020</v>
      </c>
      <c r="F82" s="60">
        <v>150000</v>
      </c>
      <c r="G82" s="63"/>
      <c r="H82" s="64" t="s">
        <v>37</v>
      </c>
      <c r="I82" s="64">
        <v>5757</v>
      </c>
      <c r="J82" s="64">
        <v>14000</v>
      </c>
      <c r="K82" s="64">
        <v>20000</v>
      </c>
      <c r="L82" s="64">
        <v>0</v>
      </c>
      <c r="M82" s="63">
        <v>30000</v>
      </c>
      <c r="N82" s="64">
        <v>30000</v>
      </c>
      <c r="O82" s="64">
        <v>50000</v>
      </c>
      <c r="P82" s="64" t="s">
        <v>37</v>
      </c>
      <c r="Q82" s="64" t="s">
        <v>37</v>
      </c>
      <c r="R82" s="64" t="s">
        <v>37</v>
      </c>
      <c r="S82" s="26">
        <f t="shared" si="17"/>
        <v>149757</v>
      </c>
    </row>
    <row r="83" spans="1:20" s="42" customFormat="1" ht="56.25" customHeight="1">
      <c r="A83" s="109" t="s">
        <v>178</v>
      </c>
      <c r="B83" s="58" t="s">
        <v>176</v>
      </c>
      <c r="C83" s="44" t="s">
        <v>177</v>
      </c>
      <c r="D83" s="59">
        <v>2016</v>
      </c>
      <c r="E83" s="59">
        <v>2017</v>
      </c>
      <c r="F83" s="60">
        <v>200000</v>
      </c>
      <c r="G83" s="63"/>
      <c r="H83" s="64">
        <v>0</v>
      </c>
      <c r="I83" s="64">
        <v>0</v>
      </c>
      <c r="J83" s="64" t="s">
        <v>37</v>
      </c>
      <c r="K83" s="64">
        <v>50000</v>
      </c>
      <c r="L83" s="64">
        <v>150000</v>
      </c>
      <c r="M83" s="63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26">
        <f t="shared" si="17"/>
        <v>200000</v>
      </c>
    </row>
    <row r="84" spans="1:20" s="42" customFormat="1" ht="42" customHeight="1">
      <c r="A84" s="109" t="s">
        <v>180</v>
      </c>
      <c r="B84" s="58" t="s">
        <v>179</v>
      </c>
      <c r="C84" s="44" t="s">
        <v>43</v>
      </c>
      <c r="D84" s="59">
        <v>2008</v>
      </c>
      <c r="E84" s="59">
        <v>2017</v>
      </c>
      <c r="F84" s="60">
        <v>1145122</v>
      </c>
      <c r="G84" s="63"/>
      <c r="H84" s="63">
        <v>168610</v>
      </c>
      <c r="I84" s="63">
        <v>156100</v>
      </c>
      <c r="J84" s="63">
        <v>151169</v>
      </c>
      <c r="K84" s="63">
        <v>144894</v>
      </c>
      <c r="L84" s="63">
        <v>141223</v>
      </c>
      <c r="M84" s="64" t="s">
        <v>37</v>
      </c>
      <c r="N84" s="64" t="s">
        <v>37</v>
      </c>
      <c r="O84" s="64" t="s">
        <v>37</v>
      </c>
      <c r="P84" s="64" t="s">
        <v>37</v>
      </c>
      <c r="Q84" s="64" t="s">
        <v>37</v>
      </c>
      <c r="R84" s="64" t="s">
        <v>37</v>
      </c>
      <c r="S84" s="26">
        <f t="shared" si="17"/>
        <v>593386</v>
      </c>
    </row>
    <row r="85" spans="1:20" s="42" customFormat="1" ht="36">
      <c r="A85" s="109" t="s">
        <v>183</v>
      </c>
      <c r="B85" s="58" t="s">
        <v>181</v>
      </c>
      <c r="C85" s="44" t="s">
        <v>182</v>
      </c>
      <c r="D85" s="59">
        <v>2015</v>
      </c>
      <c r="E85" s="59">
        <v>2016</v>
      </c>
      <c r="F85" s="60">
        <v>100000</v>
      </c>
      <c r="G85" s="63"/>
      <c r="H85" s="63"/>
      <c r="I85" s="64" t="s">
        <v>196</v>
      </c>
      <c r="J85" s="63">
        <v>80000</v>
      </c>
      <c r="K85" s="64">
        <v>20000</v>
      </c>
      <c r="L85" s="64" t="s">
        <v>37</v>
      </c>
      <c r="M85" s="64" t="s">
        <v>37</v>
      </c>
      <c r="N85" s="64" t="s">
        <v>37</v>
      </c>
      <c r="O85" s="64" t="s">
        <v>37</v>
      </c>
      <c r="P85" s="64" t="s">
        <v>37</v>
      </c>
      <c r="Q85" s="64" t="s">
        <v>37</v>
      </c>
      <c r="R85" s="64" t="s">
        <v>37</v>
      </c>
      <c r="S85" s="26">
        <f t="shared" si="17"/>
        <v>100000</v>
      </c>
    </row>
    <row r="86" spans="1:20" s="42" customFormat="1" ht="42" customHeight="1">
      <c r="A86" s="109" t="s">
        <v>186</v>
      </c>
      <c r="B86" s="125" t="s">
        <v>184</v>
      </c>
      <c r="C86" s="51" t="s">
        <v>185</v>
      </c>
      <c r="D86" s="71">
        <v>2020</v>
      </c>
      <c r="E86" s="71">
        <v>2021</v>
      </c>
      <c r="F86" s="56">
        <v>400000</v>
      </c>
      <c r="G86" s="74" t="s">
        <v>37</v>
      </c>
      <c r="H86" s="74" t="s">
        <v>37</v>
      </c>
      <c r="I86" s="74" t="s">
        <v>37</v>
      </c>
      <c r="J86" s="74" t="s">
        <v>37</v>
      </c>
      <c r="K86" s="75">
        <v>0</v>
      </c>
      <c r="L86" s="74" t="s">
        <v>37</v>
      </c>
      <c r="M86" s="74" t="s">
        <v>37</v>
      </c>
      <c r="N86" s="74" t="s">
        <v>37</v>
      </c>
      <c r="O86" s="74">
        <v>100000</v>
      </c>
      <c r="P86" s="74">
        <v>300000</v>
      </c>
      <c r="Q86" s="74" t="s">
        <v>37</v>
      </c>
      <c r="R86" s="74" t="s">
        <v>37</v>
      </c>
      <c r="S86" s="26">
        <f t="shared" si="17"/>
        <v>400000</v>
      </c>
    </row>
    <row r="87" spans="1:20" s="42" customFormat="1" ht="42" customHeight="1" thickBot="1">
      <c r="A87" s="126" t="s">
        <v>615</v>
      </c>
      <c r="B87" s="127" t="s">
        <v>187</v>
      </c>
      <c r="C87" s="128" t="s">
        <v>188</v>
      </c>
      <c r="D87" s="79">
        <v>2018</v>
      </c>
      <c r="E87" s="79">
        <v>2019</v>
      </c>
      <c r="F87" s="83">
        <v>100000</v>
      </c>
      <c r="G87" s="84" t="s">
        <v>37</v>
      </c>
      <c r="H87" s="84" t="s">
        <v>37</v>
      </c>
      <c r="I87" s="84" t="s">
        <v>37</v>
      </c>
      <c r="J87" s="84" t="s">
        <v>37</v>
      </c>
      <c r="K87" s="82">
        <v>0</v>
      </c>
      <c r="L87" s="84" t="s">
        <v>37</v>
      </c>
      <c r="M87" s="84">
        <v>50000</v>
      </c>
      <c r="N87" s="84">
        <v>50000</v>
      </c>
      <c r="O87" s="84" t="s">
        <v>37</v>
      </c>
      <c r="P87" s="84" t="s">
        <v>37</v>
      </c>
      <c r="Q87" s="84" t="s">
        <v>37</v>
      </c>
      <c r="R87" s="84" t="s">
        <v>37</v>
      </c>
      <c r="S87" s="165">
        <f t="shared" si="17"/>
        <v>100000</v>
      </c>
    </row>
    <row r="88" spans="1:20" s="15" customFormat="1">
      <c r="A88" s="129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</row>
    <row r="89" spans="1:20" s="15" customFormat="1">
      <c r="A89" s="530" t="s">
        <v>189</v>
      </c>
      <c r="B89" s="530"/>
      <c r="C89" s="530"/>
      <c r="D89" s="530"/>
      <c r="E89" s="530"/>
      <c r="F89" s="530"/>
      <c r="G89" s="530"/>
      <c r="H89" s="530"/>
      <c r="I89" s="530"/>
      <c r="J89" s="530"/>
      <c r="K89" s="530"/>
      <c r="L89" s="530"/>
      <c r="M89" s="530"/>
      <c r="N89" s="530"/>
      <c r="O89" s="530"/>
      <c r="P89" s="530"/>
      <c r="Q89" s="530"/>
      <c r="R89" s="530"/>
      <c r="S89" s="530"/>
    </row>
    <row r="90" spans="1:20" s="6" customFormat="1">
      <c r="A90" s="130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</row>
    <row r="91" spans="1:20" s="6" customFormat="1">
      <c r="A91" s="130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</row>
    <row r="92" spans="1:20" s="6" customFormat="1" hidden="1">
      <c r="A92" s="130"/>
      <c r="B92" s="130"/>
      <c r="C92" s="130"/>
      <c r="D92" s="130"/>
      <c r="E92" s="130"/>
      <c r="F92" s="130"/>
      <c r="G92" s="131" t="e">
        <f>SUM(#REF!,#REF!,G65,G68,#REF!,#REF!,#REF!)</f>
        <v>#REF!</v>
      </c>
      <c r="H92" s="131" t="e">
        <f>SUM(#REF!,#REF!,H65,H68,#REF!,#REF!,#REF!)</f>
        <v>#REF!</v>
      </c>
      <c r="I92" s="131" t="e">
        <f>SUM(#REF!,#REF!,I65,I68,#REF!,#REF!,#REF!)</f>
        <v>#REF!</v>
      </c>
      <c r="J92" s="131" t="e">
        <f>SUM(#REF!,#REF!,J65,J68,#REF!,#REF!,#REF!)</f>
        <v>#REF!</v>
      </c>
      <c r="K92" s="131" t="e">
        <f>SUM(#REF!,#REF!,K65,K68,#REF!,#REF!,#REF!)</f>
        <v>#REF!</v>
      </c>
      <c r="L92" s="131" t="e">
        <f>SUM(#REF!,#REF!,L65,L68,#REF!,#REF!,#REF!)</f>
        <v>#REF!</v>
      </c>
      <c r="M92" s="131" t="e">
        <f>SUM(#REF!,#REF!,M65,M68,#REF!,#REF!,#REF!)</f>
        <v>#REF!</v>
      </c>
      <c r="N92" s="131" t="e">
        <f>SUM(#REF!,#REF!,N65,N68,#REF!,#REF!,#REF!)</f>
        <v>#REF!</v>
      </c>
      <c r="O92" s="131" t="e">
        <f>SUM(#REF!,#REF!,O65,O68,#REF!,#REF!,#REF!)</f>
        <v>#REF!</v>
      </c>
      <c r="P92" s="131" t="e">
        <f>SUM(#REF!,#REF!,P65,P68,#REF!,#REF!,#REF!)</f>
        <v>#REF!</v>
      </c>
      <c r="Q92" s="131"/>
      <c r="R92" s="131"/>
      <c r="S92" s="131" t="e">
        <f>SUM(#REF!,#REF!,S65,S68,#REF!,#REF!,#REF!)</f>
        <v>#REF!</v>
      </c>
    </row>
    <row r="93" spans="1:20" s="6" customFormat="1" hidden="1">
      <c r="A93" s="130"/>
      <c r="B93" s="130"/>
      <c r="C93" s="130"/>
      <c r="D93" s="130"/>
      <c r="E93" s="130"/>
      <c r="F93" s="130"/>
      <c r="G93" s="131" t="e">
        <f>SUM(#REF!,#REF!,#REF!,#REF!,#REF!,#REF!,#REF!,#REF!,#REF!,#REF!,#REF!,#REF!,#REF!,#REF!,#REF!,#REF!,#REF!,#REF!,#REF!,#REF!,#REF!,#REF!,#REF!)</f>
        <v>#REF!</v>
      </c>
      <c r="H93" s="131" t="e">
        <f>SUM(#REF!,#REF!,#REF!,#REF!,#REF!,#REF!,#REF!,#REF!,#REF!,#REF!,#REF!,#REF!,#REF!,#REF!,#REF!,#REF!,#REF!,#REF!,#REF!,#REF!,#REF!,#REF!,#REF!)</f>
        <v>#REF!</v>
      </c>
      <c r="I93" s="131" t="e">
        <f>SUM(#REF!,#REF!,#REF!,#REF!,#REF!,#REF!,#REF!,#REF!,#REF!,#REF!,#REF!,#REF!,#REF!,#REF!,#REF!,#REF!,#REF!,#REF!,#REF!,#REF!,#REF!,#REF!,#REF!)</f>
        <v>#REF!</v>
      </c>
      <c r="J93" s="131" t="e">
        <f>SUM(#REF!,#REF!,#REF!,#REF!,#REF!,#REF!,#REF!,#REF!,#REF!,#REF!,#REF!,#REF!,#REF!,#REF!,#REF!,#REF!,#REF!,#REF!,#REF!,#REF!,#REF!,#REF!,#REF!)</f>
        <v>#REF!</v>
      </c>
      <c r="K93" s="131" t="e">
        <f>SUM(#REF!,#REF!,#REF!,#REF!,#REF!,#REF!,#REF!,#REF!,#REF!,#REF!,#REF!,#REF!,#REF!,#REF!,#REF!,#REF!,#REF!,#REF!,#REF!,#REF!,#REF!,#REF!,#REF!)</f>
        <v>#REF!</v>
      </c>
      <c r="L93" s="131" t="e">
        <f>SUM(#REF!,#REF!,#REF!,#REF!,#REF!,#REF!,#REF!,#REF!,#REF!,#REF!,#REF!,#REF!,#REF!,#REF!,#REF!,#REF!,#REF!,#REF!,#REF!,#REF!,#REF!,#REF!,#REF!)</f>
        <v>#REF!</v>
      </c>
      <c r="M93" s="131" t="e">
        <f>SUM(#REF!,#REF!,#REF!,#REF!,#REF!,#REF!,#REF!,#REF!,#REF!,#REF!,#REF!,#REF!,#REF!,#REF!,#REF!,#REF!,#REF!,#REF!,#REF!,#REF!,#REF!,#REF!,#REF!)</f>
        <v>#REF!</v>
      </c>
      <c r="N93" s="131" t="e">
        <f>SUM(#REF!,#REF!,#REF!,#REF!,#REF!,#REF!,#REF!,#REF!,#REF!,#REF!,#REF!,#REF!,#REF!,#REF!,#REF!,#REF!,#REF!,#REF!,#REF!,#REF!,#REF!,#REF!,#REF!)</f>
        <v>#REF!</v>
      </c>
      <c r="O93" s="131" t="e">
        <f>SUM(#REF!,#REF!,#REF!,#REF!,#REF!,#REF!,#REF!,#REF!,#REF!,#REF!,#REF!,#REF!,#REF!,#REF!,#REF!,#REF!,#REF!,#REF!,#REF!,#REF!,#REF!,#REF!,#REF!)</f>
        <v>#REF!</v>
      </c>
      <c r="P93" s="131" t="e">
        <f>SUM(#REF!,#REF!,#REF!,#REF!,#REF!,#REF!,#REF!,#REF!,#REF!,#REF!,#REF!,#REF!,#REF!,#REF!,#REF!,#REF!,#REF!,#REF!,#REF!,#REF!,#REF!,#REF!,#REF!)</f>
        <v>#REF!</v>
      </c>
      <c r="Q93" s="131"/>
      <c r="R93" s="131"/>
      <c r="S93" s="131" t="e">
        <f>SUM(#REF!,#REF!,#REF!,#REF!,#REF!,#REF!,#REF!,#REF!,#REF!,#REF!,#REF!,#REF!,#REF!,#REF!,#REF!,#REF!,#REF!,#REF!,#REF!,#REF!,#REF!,#REF!,#REF!)</f>
        <v>#REF!</v>
      </c>
    </row>
    <row r="94" spans="1:20" s="134" customFormat="1" hidden="1">
      <c r="A94" s="132"/>
      <c r="B94" s="132"/>
      <c r="C94" s="132"/>
      <c r="D94" s="132"/>
      <c r="E94" s="132"/>
      <c r="F94" s="132"/>
      <c r="G94" s="133" t="e">
        <f t="shared" ref="G94:P94" si="18">SUM(G92:G93)</f>
        <v>#REF!</v>
      </c>
      <c r="H94" s="133" t="e">
        <f t="shared" si="18"/>
        <v>#REF!</v>
      </c>
      <c r="I94" s="133" t="e">
        <f t="shared" si="18"/>
        <v>#REF!</v>
      </c>
      <c r="J94" s="133" t="e">
        <f t="shared" si="18"/>
        <v>#REF!</v>
      </c>
      <c r="K94" s="133" t="e">
        <f t="shared" si="18"/>
        <v>#REF!</v>
      </c>
      <c r="L94" s="133" t="e">
        <f t="shared" si="18"/>
        <v>#REF!</v>
      </c>
      <c r="M94" s="133" t="e">
        <f t="shared" si="18"/>
        <v>#REF!</v>
      </c>
      <c r="N94" s="133" t="e">
        <f t="shared" si="18"/>
        <v>#REF!</v>
      </c>
      <c r="O94" s="133" t="e">
        <f t="shared" si="18"/>
        <v>#REF!</v>
      </c>
      <c r="P94" s="133" t="e">
        <f t="shared" si="18"/>
        <v>#REF!</v>
      </c>
      <c r="Q94" s="133"/>
      <c r="R94" s="133"/>
      <c r="S94" s="133" t="e">
        <f>SUM(S92:S93)</f>
        <v>#REF!</v>
      </c>
    </row>
    <row r="95" spans="1:20" s="6" customFormat="1" hidden="1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</row>
    <row r="96" spans="1:20" s="6" customFormat="1" hidden="1">
      <c r="A96" s="130"/>
      <c r="B96" s="130"/>
      <c r="C96" s="130"/>
      <c r="D96" s="130"/>
      <c r="E96" s="130"/>
      <c r="F96" s="130"/>
      <c r="G96" s="131" t="e">
        <f>SUM(#REF!,#REF!,G66,G69,#REF!,#REF!,#REF!)</f>
        <v>#REF!</v>
      </c>
      <c r="H96" s="131" t="e">
        <f>SUM(#REF!,#REF!,H66,H69,#REF!,#REF!,#REF!)</f>
        <v>#REF!</v>
      </c>
      <c r="I96" s="131" t="e">
        <f>SUM(#REF!,#REF!,I66,I69,#REF!,#REF!,#REF!)</f>
        <v>#REF!</v>
      </c>
      <c r="J96" s="131" t="e">
        <f>SUM(#REF!,#REF!,J66,J69,#REF!,#REF!,#REF!)</f>
        <v>#REF!</v>
      </c>
      <c r="K96" s="131" t="e">
        <f>SUM(#REF!,#REF!,K66,K69,#REF!,#REF!,#REF!)</f>
        <v>#REF!</v>
      </c>
      <c r="L96" s="131" t="e">
        <f>SUM(#REF!,#REF!,L66,L69,#REF!,#REF!,#REF!)</f>
        <v>#REF!</v>
      </c>
      <c r="M96" s="131" t="e">
        <f>SUM(#REF!,#REF!,M66,M69,#REF!,#REF!,#REF!)</f>
        <v>#REF!</v>
      </c>
      <c r="N96" s="131" t="e">
        <f>SUM(#REF!,#REF!,N66,N69,#REF!,#REF!,#REF!)</f>
        <v>#REF!</v>
      </c>
      <c r="O96" s="131" t="e">
        <f>SUM(#REF!,#REF!,O66,O69,#REF!,#REF!,#REF!)</f>
        <v>#REF!</v>
      </c>
      <c r="P96" s="131" t="e">
        <f>SUM(#REF!,#REF!,P66,P69,#REF!,#REF!,#REF!)</f>
        <v>#REF!</v>
      </c>
      <c r="Q96" s="131"/>
      <c r="R96" s="131"/>
      <c r="S96" s="131" t="e">
        <f>SUM(#REF!,#REF!,S66,S69,#REF!,#REF!,#REF!)</f>
        <v>#REF!</v>
      </c>
    </row>
    <row r="97" spans="1:19" s="6" customFormat="1" hidden="1">
      <c r="A97" s="130"/>
      <c r="B97" s="130"/>
      <c r="C97" s="130"/>
      <c r="D97" s="130"/>
      <c r="E97" s="130"/>
      <c r="F97" s="130"/>
      <c r="G97" s="131" t="e">
        <f>SUM(#REF!,#REF!,#REF!,#REF!,#REF!,#REF!,#REF!,#REF!,#REF!,#REF!,#REF!,#REF!,#REF!,#REF!,#REF!,#REF!,#REF!,#REF!,#REF!,#REF!,#REF!,#REF!,#REF!,#REF!,#REF!,#REF!)</f>
        <v>#REF!</v>
      </c>
      <c r="H97" s="131" t="e">
        <f>SUM(#REF!,#REF!,#REF!,#REF!,#REF!,#REF!,#REF!,#REF!,#REF!,#REF!,#REF!,#REF!,#REF!,#REF!,#REF!,#REF!,#REF!,#REF!,#REF!,#REF!,#REF!,#REF!,#REF!,#REF!,#REF!,#REF!)</f>
        <v>#REF!</v>
      </c>
      <c r="I97" s="131" t="e">
        <f>SUM(#REF!,#REF!,#REF!,#REF!,#REF!,#REF!,#REF!,#REF!,#REF!,#REF!,#REF!,#REF!,#REF!,#REF!,#REF!,#REF!,#REF!,#REF!,#REF!,#REF!,#REF!,#REF!,#REF!,#REF!,#REF!,#REF!)</f>
        <v>#REF!</v>
      </c>
      <c r="J97" s="131" t="e">
        <f>SUM(#REF!,#REF!,#REF!,#REF!,#REF!,#REF!,#REF!,#REF!,#REF!,#REF!,#REF!,#REF!,#REF!,#REF!,#REF!,#REF!,#REF!,#REF!,#REF!,#REF!,#REF!,#REF!,#REF!,#REF!,#REF!,#REF!)</f>
        <v>#REF!</v>
      </c>
      <c r="K97" s="131" t="e">
        <f>SUM(#REF!,#REF!,#REF!,#REF!,#REF!,#REF!,#REF!,#REF!,#REF!,#REF!,#REF!,#REF!,#REF!,#REF!,#REF!,#REF!,#REF!,#REF!,#REF!,#REF!,#REF!,#REF!,#REF!,#REF!,#REF!,#REF!)</f>
        <v>#REF!</v>
      </c>
      <c r="L97" s="131" t="e">
        <f>SUM(#REF!,#REF!,#REF!,#REF!,#REF!,#REF!,#REF!,#REF!,#REF!,#REF!,#REF!,#REF!,#REF!,#REF!,#REF!,#REF!,#REF!,#REF!,#REF!,#REF!,#REF!,#REF!,#REF!,#REF!,#REF!,#REF!)</f>
        <v>#REF!</v>
      </c>
      <c r="M97" s="131" t="e">
        <f>SUM(#REF!,#REF!,#REF!,#REF!,#REF!,#REF!,#REF!,#REF!,#REF!,#REF!,#REF!,#REF!,#REF!,#REF!,#REF!,#REF!,#REF!,#REF!,#REF!,#REF!,#REF!,#REF!,#REF!,#REF!,#REF!,#REF!)</f>
        <v>#REF!</v>
      </c>
      <c r="N97" s="131" t="e">
        <f>SUM(#REF!,#REF!,#REF!,#REF!,#REF!,#REF!,#REF!,#REF!,#REF!,#REF!,#REF!,#REF!,#REF!,#REF!,#REF!,#REF!,#REF!,#REF!,#REF!,#REF!,#REF!,#REF!,#REF!,#REF!,#REF!,#REF!)</f>
        <v>#REF!</v>
      </c>
      <c r="O97" s="131" t="e">
        <f>SUM(#REF!,#REF!,#REF!,#REF!,#REF!,#REF!,#REF!,#REF!,#REF!,#REF!,#REF!,#REF!,#REF!,#REF!,#REF!,#REF!,#REF!,#REF!,#REF!,#REF!,#REF!,#REF!,#REF!,#REF!,#REF!,#REF!)</f>
        <v>#REF!</v>
      </c>
      <c r="P97" s="131" t="e">
        <f>SUM(#REF!,#REF!,#REF!,#REF!,#REF!,#REF!,#REF!,#REF!,#REF!,#REF!,#REF!,#REF!,#REF!,#REF!,#REF!,#REF!,#REF!,#REF!,#REF!,#REF!,#REF!,#REF!,#REF!,#REF!,#REF!,#REF!)</f>
        <v>#REF!</v>
      </c>
      <c r="Q97" s="131"/>
      <c r="R97" s="131"/>
      <c r="S97" s="131" t="e">
        <f>SUM(#REF!,#REF!,#REF!,#REF!,#REF!,#REF!,#REF!,#REF!,#REF!,#REF!,#REF!,#REF!,#REF!,#REF!,#REF!,#REF!,#REF!,#REF!,#REF!,#REF!,#REF!,#REF!,#REF!,#REF!,#REF!,#REF!)</f>
        <v>#REF!</v>
      </c>
    </row>
    <row r="98" spans="1:19" s="134" customFormat="1" hidden="1">
      <c r="A98" s="132"/>
      <c r="B98" s="132"/>
      <c r="C98" s="132"/>
      <c r="D98" s="132"/>
      <c r="E98" s="132"/>
      <c r="F98" s="132"/>
      <c r="G98" s="133" t="e">
        <f t="shared" ref="G98:P98" si="19">SUM(G96:G97)</f>
        <v>#REF!</v>
      </c>
      <c r="H98" s="133" t="e">
        <f t="shared" si="19"/>
        <v>#REF!</v>
      </c>
      <c r="I98" s="133" t="e">
        <f t="shared" si="19"/>
        <v>#REF!</v>
      </c>
      <c r="J98" s="133" t="e">
        <f t="shared" si="19"/>
        <v>#REF!</v>
      </c>
      <c r="K98" s="133" t="e">
        <f t="shared" si="19"/>
        <v>#REF!</v>
      </c>
      <c r="L98" s="133" t="e">
        <f t="shared" si="19"/>
        <v>#REF!</v>
      </c>
      <c r="M98" s="133" t="e">
        <f t="shared" si="19"/>
        <v>#REF!</v>
      </c>
      <c r="N98" s="133" t="e">
        <f t="shared" si="19"/>
        <v>#REF!</v>
      </c>
      <c r="O98" s="133" t="e">
        <f t="shared" si="19"/>
        <v>#REF!</v>
      </c>
      <c r="P98" s="133" t="e">
        <f t="shared" si="19"/>
        <v>#REF!</v>
      </c>
      <c r="Q98" s="133"/>
      <c r="R98" s="133"/>
      <c r="S98" s="133" t="e">
        <f>SUM(S96:S97)</f>
        <v>#REF!</v>
      </c>
    </row>
    <row r="99" spans="1:19" s="6" customFormat="1">
      <c r="A99" s="130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</row>
    <row r="100" spans="1:19" s="6" customFormat="1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</row>
    <row r="101" spans="1:19" s="6" customFormat="1">
      <c r="A101" s="130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</row>
    <row r="102" spans="1:19" s="6" customFormat="1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</row>
    <row r="103" spans="1:19" s="6" customFormat="1">
      <c r="A103" s="130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</row>
    <row r="104" spans="1:19" s="6" customFormat="1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</row>
    <row r="105" spans="1:19" s="6" customFormat="1">
      <c r="A105" s="130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</row>
    <row r="106" spans="1:19" s="6" customFormat="1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</row>
    <row r="107" spans="1:19" s="6" customFormat="1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</row>
    <row r="108" spans="1:19" s="6" customFormat="1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</row>
    <row r="109" spans="1:19" s="6" customFormat="1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</row>
    <row r="110" spans="1:19" s="6" customFormat="1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</row>
    <row r="111" spans="1:19" s="6" customFormat="1">
      <c r="A111" s="130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</row>
    <row r="112" spans="1:19" s="6" customFormat="1">
      <c r="A112" s="130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</row>
    <row r="113" spans="1:19" s="6" customFormat="1">
      <c r="A113" s="130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</row>
    <row r="114" spans="1:19" s="6" customFormat="1">
      <c r="A114" s="130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</row>
    <row r="115" spans="1:19" s="6" customFormat="1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</row>
    <row r="116" spans="1:19" s="6" customFormat="1">
      <c r="A116" s="130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</row>
    <row r="117" spans="1:19" s="6" customFormat="1">
      <c r="A117" s="130"/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</row>
    <row r="118" spans="1:19" s="6" customFormat="1">
      <c r="A118" s="130"/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</row>
    <row r="119" spans="1:19" s="6" customFormat="1">
      <c r="A119" s="130"/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</row>
  </sheetData>
  <mergeCells count="47">
    <mergeCell ref="A89:S89"/>
    <mergeCell ref="S64:S66"/>
    <mergeCell ref="A67:A69"/>
    <mergeCell ref="C67:C69"/>
    <mergeCell ref="D67:D69"/>
    <mergeCell ref="E67:E69"/>
    <mergeCell ref="S67:S69"/>
    <mergeCell ref="B52:E52"/>
    <mergeCell ref="B63:E63"/>
    <mergeCell ref="A64:A66"/>
    <mergeCell ref="C64:C66"/>
    <mergeCell ref="D64:D66"/>
    <mergeCell ref="E64:E66"/>
    <mergeCell ref="B51:E51"/>
    <mergeCell ref="S42:S44"/>
    <mergeCell ref="A45:A47"/>
    <mergeCell ref="C45:C47"/>
    <mergeCell ref="D45:D47"/>
    <mergeCell ref="E45:E47"/>
    <mergeCell ref="S45:S47"/>
    <mergeCell ref="A48:A50"/>
    <mergeCell ref="C48:C50"/>
    <mergeCell ref="D48:D50"/>
    <mergeCell ref="E48:E50"/>
    <mergeCell ref="S48:S50"/>
    <mergeCell ref="B39:E39"/>
    <mergeCell ref="B40:E40"/>
    <mergeCell ref="B41:E41"/>
    <mergeCell ref="A42:A44"/>
    <mergeCell ref="C42:C44"/>
    <mergeCell ref="D42:D44"/>
    <mergeCell ref="E42:E44"/>
    <mergeCell ref="B17:E17"/>
    <mergeCell ref="K1:S1"/>
    <mergeCell ref="A3:S3"/>
    <mergeCell ref="A5:A6"/>
    <mergeCell ref="B5:B6"/>
    <mergeCell ref="C5:C6"/>
    <mergeCell ref="D5:E5"/>
    <mergeCell ref="F5:F6"/>
    <mergeCell ref="G5:R5"/>
    <mergeCell ref="S5:S6"/>
    <mergeCell ref="B8:E8"/>
    <mergeCell ref="B9:E9"/>
    <mergeCell ref="B10:E10"/>
    <mergeCell ref="B11:E11"/>
    <mergeCell ref="B12:E12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70" orientation="landscape" r:id="rId1"/>
  <rowBreaks count="5" manualBreakCount="5">
    <brk id="16" max="18" man="1"/>
    <brk id="29" max="18" man="1"/>
    <brk id="53" max="18" man="1"/>
    <brk id="62" max="18" man="1"/>
    <brk id="8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Zał.1_WPF_bazowy</vt:lpstr>
      <vt:lpstr>Zał. 3-Przedsięwzięcia</vt:lpstr>
      <vt:lpstr>Arkusz1</vt:lpstr>
      <vt:lpstr>Arkusz2</vt:lpstr>
      <vt:lpstr>Arkusz3</vt:lpstr>
      <vt:lpstr>'Zał. 3-Przedsięwzięcia'!Obszar_wydruku</vt:lpstr>
      <vt:lpstr>Zał.1_WPF_bazowy!Obszar_wydruku</vt:lpstr>
      <vt:lpstr>'Zał. 3-Przedsięwzięcia'!Tytuły_wydruku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2014-09-30T12:18:05Z</dcterms:modified>
</cp:coreProperties>
</file>