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820" windowWidth="15330" windowHeight="4335" tabRatio="670" firstSheet="8" activeTab="14"/>
  </bookViews>
  <sheets>
    <sheet name="Bielkowo (1)" sheetId="1" r:id="rId1"/>
    <sheet name="Cisewo (2)" sheetId="2" r:id="rId2"/>
    <sheet name="Jęczydół (3)" sheetId="3" r:id="rId3"/>
    <sheet name="Kałęga (4)" sheetId="4" r:id="rId4"/>
    <sheet name="Kobylanka (5)" sheetId="5" r:id="rId5"/>
    <sheet name=" Kunowo (6)" sheetId="6" r:id="rId6"/>
    <sheet name="Nowa Kobylanka (7)" sheetId="7" r:id="rId7"/>
    <sheet name="Niedźwiedź (8)" sheetId="8" r:id="rId8"/>
    <sheet name="Morawsko (9)" sheetId="9" r:id="rId9"/>
    <sheet name="Morzyczyn (10)" sheetId="10" r:id="rId10"/>
    <sheet name="Motaniec(11)" sheetId="11" r:id="rId11"/>
    <sheet name="Rekowo(12)" sheetId="12" r:id="rId12"/>
    <sheet name="Reptowo (13)" sheetId="13" r:id="rId13"/>
    <sheet name="Zieleniewo (14)" sheetId="14" r:id="rId14"/>
    <sheet name="zbiorówka " sheetId="15" r:id="rId15"/>
    <sheet name="Arkusz1" sheetId="16" r:id="rId16"/>
  </sheets>
  <definedNames>
    <definedName name="_xlnm._FilterDatabase" localSheetId="5" hidden="1">' Kunowo (6)'!$A$1:$P$61</definedName>
    <definedName name="_xlnm._FilterDatabase" localSheetId="0" hidden="1">'Bielkowo (1)'!$A$1:$P$27</definedName>
    <definedName name="_xlnm._FilterDatabase" localSheetId="1" hidden="1">'Cisewo (2)'!$A$1:$P$14</definedName>
    <definedName name="_xlnm._FilterDatabase" localSheetId="2" hidden="1">'Jęczydół (3)'!$A$1:$P$4</definedName>
    <definedName name="_xlnm._FilterDatabase" localSheetId="3" hidden="1">'Kałęga (4)'!$A$1:$P$11</definedName>
    <definedName name="_xlnm._FilterDatabase" localSheetId="4" hidden="1">'Kobylanka (5)'!$A$1:$P$34</definedName>
    <definedName name="_xlnm._FilterDatabase" localSheetId="8" hidden="1">'Morawsko (9)'!$A$1:$P$2</definedName>
    <definedName name="_xlnm._FilterDatabase" localSheetId="9" hidden="1">'Morzyczyn (10)'!$A$1:$P$26</definedName>
    <definedName name="_xlnm._FilterDatabase" localSheetId="10" hidden="1">'Motaniec(11)'!$A$1:$P$24</definedName>
    <definedName name="_xlnm._FilterDatabase" localSheetId="6" hidden="1">'Nowa Kobylanka (7)'!$A$1:$P$7</definedName>
    <definedName name="_xlnm._FilterDatabase" localSheetId="11" hidden="1">'Rekowo(12)'!$A$1:$P$15</definedName>
    <definedName name="_xlnm._FilterDatabase" localSheetId="12" hidden="1">'Reptowo (13)'!$A$1:$P$52</definedName>
    <definedName name="_xlnm._FilterDatabase" localSheetId="13" hidden="1">'Zieleniewo (14)'!$A$1:$P$11</definedName>
    <definedName name="_xlfn.SUMIFS" hidden="1">#NAME?</definedName>
    <definedName name="_xlnm.Print_Area" localSheetId="0">'Bielkowo (1)'!$C$1:$O$39</definedName>
    <definedName name="_xlnm.Print_Area" localSheetId="14">'zbiorówka '!$A$1:$AB$25</definedName>
  </definedNames>
  <calcPr fullCalcOnLoad="1"/>
</workbook>
</file>

<file path=xl/sharedStrings.xml><?xml version="1.0" encoding="utf-8"?>
<sst xmlns="http://schemas.openxmlformats.org/spreadsheetml/2006/main" count="2072" uniqueCount="224">
  <si>
    <t>Lp</t>
  </si>
  <si>
    <t>Miejscowość</t>
  </si>
  <si>
    <t>Obręb ewidencyjny</t>
  </si>
  <si>
    <t>Nr działki</t>
  </si>
  <si>
    <t>Rodzaj budynku</t>
  </si>
  <si>
    <t>Rodzaj wyr. azbestowego</t>
  </si>
  <si>
    <t>Ilość m2</t>
  </si>
  <si>
    <t>Ilość Mg</t>
  </si>
  <si>
    <t xml:space="preserve">Ocena stanu </t>
  </si>
  <si>
    <t>Przewidywany rok unieszkodliwienia</t>
  </si>
  <si>
    <t>falista</t>
  </si>
  <si>
    <t>Razem</t>
  </si>
  <si>
    <t>PODSUMOWANIE</t>
  </si>
  <si>
    <t>ilość</t>
  </si>
  <si>
    <t>m2</t>
  </si>
  <si>
    <t>Mg</t>
  </si>
  <si>
    <t>budynki mieszkalne</t>
  </si>
  <si>
    <t>budynki gospodarcze</t>
  </si>
  <si>
    <t>luz</t>
  </si>
  <si>
    <t>płaska</t>
  </si>
  <si>
    <t>PW3A</t>
  </si>
  <si>
    <t>rurociągi</t>
  </si>
  <si>
    <t>Kunowo</t>
  </si>
  <si>
    <t>1</t>
  </si>
  <si>
    <t>2</t>
  </si>
  <si>
    <t>6</t>
  </si>
  <si>
    <t>3</t>
  </si>
  <si>
    <t>18</t>
  </si>
  <si>
    <t>42</t>
  </si>
  <si>
    <t>Cisewo</t>
  </si>
  <si>
    <t>Reptowo</t>
  </si>
  <si>
    <t>100</t>
  </si>
  <si>
    <t>89</t>
  </si>
  <si>
    <t>88</t>
  </si>
  <si>
    <t>83</t>
  </si>
  <si>
    <t>Niedźwiedź</t>
  </si>
  <si>
    <t>Motaniec</t>
  </si>
  <si>
    <t>Rekowo</t>
  </si>
  <si>
    <t>Jęczydół</t>
  </si>
  <si>
    <t>Zieleniewo</t>
  </si>
  <si>
    <t>Morzyczyn</t>
  </si>
  <si>
    <t>Kobylanka</t>
  </si>
  <si>
    <t>301</t>
  </si>
  <si>
    <t>305/2</t>
  </si>
  <si>
    <t>Kałęga</t>
  </si>
  <si>
    <t>Bielkowo</t>
  </si>
  <si>
    <t>85/2</t>
  </si>
  <si>
    <t>94/2</t>
  </si>
  <si>
    <t>97</t>
  </si>
  <si>
    <t>144/2</t>
  </si>
  <si>
    <t>151</t>
  </si>
  <si>
    <t>158</t>
  </si>
  <si>
    <t>161/3</t>
  </si>
  <si>
    <t>Nowa Kobylanka</t>
  </si>
  <si>
    <t>do 2032</t>
  </si>
  <si>
    <t>do 2022</t>
  </si>
  <si>
    <t>do 2017</t>
  </si>
  <si>
    <t>72/3</t>
  </si>
  <si>
    <t>46/3</t>
  </si>
  <si>
    <t>189</t>
  </si>
  <si>
    <t>513/3</t>
  </si>
  <si>
    <t>214</t>
  </si>
  <si>
    <t>221</t>
  </si>
  <si>
    <t>128</t>
  </si>
  <si>
    <t>262</t>
  </si>
  <si>
    <t>116/5</t>
  </si>
  <si>
    <t>49/2</t>
  </si>
  <si>
    <t>72/1</t>
  </si>
  <si>
    <t>46/8</t>
  </si>
  <si>
    <t>46/5</t>
  </si>
  <si>
    <t>2017</t>
  </si>
  <si>
    <t>2022</t>
  </si>
  <si>
    <t>2032</t>
  </si>
  <si>
    <t>Luz</t>
  </si>
  <si>
    <t>Rodzaj azbestu</t>
  </si>
  <si>
    <t>płyty faliste</t>
  </si>
  <si>
    <t>płyty płaskie</t>
  </si>
  <si>
    <t>płyty płaskie (PW3A)</t>
  </si>
  <si>
    <t>pow. m2</t>
  </si>
  <si>
    <t>Masa Mg</t>
  </si>
  <si>
    <t>Wielichówko</t>
  </si>
  <si>
    <t>OGÓŁEM</t>
  </si>
  <si>
    <t>Ilość miejsc występowania wyrobów zawierających azbest</t>
  </si>
  <si>
    <t>szt</t>
  </si>
  <si>
    <t>Łączna powierzchnia budynków pokrytych płytami azbestowo-cementowymi</t>
  </si>
  <si>
    <t>Łączna masa wyrobów azbestowych (razem z luzem)</t>
  </si>
  <si>
    <t>76</t>
  </si>
  <si>
    <t>213</t>
  </si>
  <si>
    <t>90/2</t>
  </si>
  <si>
    <t>141/2</t>
  </si>
  <si>
    <t>741/1</t>
  </si>
  <si>
    <t>241/10</t>
  </si>
  <si>
    <t>240/1</t>
  </si>
  <si>
    <t>239</t>
  </si>
  <si>
    <t>766/6</t>
  </si>
  <si>
    <t>211/1</t>
  </si>
  <si>
    <t>212/4</t>
  </si>
  <si>
    <t>205/5</t>
  </si>
  <si>
    <t>227</t>
  </si>
  <si>
    <t>217</t>
  </si>
  <si>
    <t>165/1</t>
  </si>
  <si>
    <t>398/1</t>
  </si>
  <si>
    <t>164/3</t>
  </si>
  <si>
    <t>394</t>
  </si>
  <si>
    <t>392</t>
  </si>
  <si>
    <t>161/7</t>
  </si>
  <si>
    <t>163/1</t>
  </si>
  <si>
    <t>159/7</t>
  </si>
  <si>
    <t>136</t>
  </si>
  <si>
    <t>131/1</t>
  </si>
  <si>
    <t>72/11</t>
  </si>
  <si>
    <t>71/1</t>
  </si>
  <si>
    <t>69/1</t>
  </si>
  <si>
    <t>65</t>
  </si>
  <si>
    <t>176/4</t>
  </si>
  <si>
    <t>212/1</t>
  </si>
  <si>
    <t>50/1</t>
  </si>
  <si>
    <t>168/3</t>
  </si>
  <si>
    <t>167/2</t>
  </si>
  <si>
    <t>166/6</t>
  </si>
  <si>
    <t>190</t>
  </si>
  <si>
    <t>192/1</t>
  </si>
  <si>
    <t>127/10; 127/11</t>
  </si>
  <si>
    <t>110/2</t>
  </si>
  <si>
    <t>171/1</t>
  </si>
  <si>
    <t>163/4</t>
  </si>
  <si>
    <t>184/4</t>
  </si>
  <si>
    <t>167/5</t>
  </si>
  <si>
    <t>154</t>
  </si>
  <si>
    <t>186/1</t>
  </si>
  <si>
    <t>168</t>
  </si>
  <si>
    <t>194</t>
  </si>
  <si>
    <t>195</t>
  </si>
  <si>
    <t>198</t>
  </si>
  <si>
    <t>200</t>
  </si>
  <si>
    <t>210</t>
  </si>
  <si>
    <t>245</t>
  </si>
  <si>
    <t>366/2</t>
  </si>
  <si>
    <t>usunięto w 2008 nie ma luzu</t>
  </si>
  <si>
    <t>185</t>
  </si>
  <si>
    <t>182</t>
  </si>
  <si>
    <t>177</t>
  </si>
  <si>
    <t>176</t>
  </si>
  <si>
    <t>175</t>
  </si>
  <si>
    <t>172</t>
  </si>
  <si>
    <t>166</t>
  </si>
  <si>
    <t>165</t>
  </si>
  <si>
    <t>164</t>
  </si>
  <si>
    <t>153</t>
  </si>
  <si>
    <t>143</t>
  </si>
  <si>
    <t>139</t>
  </si>
  <si>
    <t>138</t>
  </si>
  <si>
    <t>134</t>
  </si>
  <si>
    <t>125/1</t>
  </si>
  <si>
    <t>123</t>
  </si>
  <si>
    <t>264</t>
  </si>
  <si>
    <t>248</t>
  </si>
  <si>
    <t>249</t>
  </si>
  <si>
    <t>255</t>
  </si>
  <si>
    <t>242</t>
  </si>
  <si>
    <t>238/2</t>
  </si>
  <si>
    <t>228</t>
  </si>
  <si>
    <t>226</t>
  </si>
  <si>
    <t>198/3</t>
  </si>
  <si>
    <t>193/1</t>
  </si>
  <si>
    <t>202/3</t>
  </si>
  <si>
    <t>202/1</t>
  </si>
  <si>
    <t>108/3</t>
  </si>
  <si>
    <t>142/1</t>
  </si>
  <si>
    <t>156/2</t>
  </si>
  <si>
    <t>67/5</t>
  </si>
  <si>
    <t>47/4</t>
  </si>
  <si>
    <t>45/4</t>
  </si>
  <si>
    <t>147/1</t>
  </si>
  <si>
    <t>Morawsko</t>
  </si>
  <si>
    <t>855/26</t>
  </si>
  <si>
    <t>331</t>
  </si>
  <si>
    <t>279/2</t>
  </si>
  <si>
    <t>93/1</t>
  </si>
  <si>
    <t>55</t>
  </si>
  <si>
    <t>101</t>
  </si>
  <si>
    <t>104/1</t>
  </si>
  <si>
    <t>109</t>
  </si>
  <si>
    <t>174/3</t>
  </si>
  <si>
    <t>55/2</t>
  </si>
  <si>
    <t>54/4</t>
  </si>
  <si>
    <t>53/1</t>
  </si>
  <si>
    <t>129</t>
  </si>
  <si>
    <t>45/5</t>
  </si>
  <si>
    <t>98/2</t>
  </si>
  <si>
    <t>167</t>
  </si>
  <si>
    <t>633/9</t>
  </si>
  <si>
    <t>budynek gospodarczy</t>
  </si>
  <si>
    <t>322</t>
  </si>
  <si>
    <t>289/2</t>
  </si>
  <si>
    <t>216</t>
  </si>
  <si>
    <t>256/5</t>
  </si>
  <si>
    <t>144</t>
  </si>
  <si>
    <t>usunięta w  2013</t>
  </si>
  <si>
    <t>w 2013</t>
  </si>
  <si>
    <t>w 2014</t>
  </si>
  <si>
    <t>w 2013m2</t>
  </si>
  <si>
    <t>390/2</t>
  </si>
  <si>
    <t>2015</t>
  </si>
  <si>
    <t>160/3</t>
  </si>
  <si>
    <t>145</t>
  </si>
  <si>
    <t>441</t>
  </si>
  <si>
    <t>467/51</t>
  </si>
  <si>
    <t>339</t>
  </si>
  <si>
    <t>256/3</t>
  </si>
  <si>
    <t>240</t>
  </si>
  <si>
    <t>124</t>
  </si>
  <si>
    <t>569</t>
  </si>
  <si>
    <t>163/3</t>
  </si>
  <si>
    <t>137/3</t>
  </si>
  <si>
    <t>Miedwiecko</t>
  </si>
  <si>
    <t>50/2</t>
  </si>
  <si>
    <t>w 2014m2</t>
  </si>
  <si>
    <t>usunięto w 2014</t>
  </si>
  <si>
    <t>do 2015</t>
  </si>
  <si>
    <t xml:space="preserve"> w2014m2</t>
  </si>
  <si>
    <t>budynek mieszkalny</t>
  </si>
  <si>
    <t>sprawdzenie</t>
  </si>
  <si>
    <t>56/4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</si>
</sst>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6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1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164" fontId="1" fillId="34" borderId="10" xfId="0" applyNumberFormat="1" applyFont="1" applyFill="1" applyBorder="1" applyAlignment="1">
      <alignment vertical="center"/>
    </xf>
    <xf numFmtId="165" fontId="1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164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49" fontId="1" fillId="34" borderId="0" xfId="0" applyNumberFormat="1" applyFont="1" applyFill="1" applyAlignment="1">
      <alignment wrapText="1"/>
    </xf>
    <xf numFmtId="164" fontId="3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right"/>
    </xf>
    <xf numFmtId="4" fontId="1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164" fontId="1" fillId="35" borderId="10" xfId="0" applyNumberFormat="1" applyFont="1" applyFill="1" applyBorder="1" applyAlignment="1">
      <alignment vertical="center"/>
    </xf>
    <xf numFmtId="165" fontId="1" fillId="35" borderId="10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165" fontId="1" fillId="35" borderId="0" xfId="0" applyNumberFormat="1" applyFont="1" applyFill="1" applyAlignment="1">
      <alignment/>
    </xf>
    <xf numFmtId="49" fontId="1" fillId="35" borderId="0" xfId="0" applyNumberFormat="1" applyFont="1" applyFill="1" applyAlignment="1">
      <alignment/>
    </xf>
    <xf numFmtId="0" fontId="1" fillId="35" borderId="0" xfId="0" applyFont="1" applyFill="1" applyAlignment="1">
      <alignment horizontal="right"/>
    </xf>
    <xf numFmtId="164" fontId="3" fillId="35" borderId="0" xfId="0" applyNumberFormat="1" applyFont="1" applyFill="1" applyAlignment="1">
      <alignment/>
    </xf>
    <xf numFmtId="165" fontId="3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65" fontId="1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vertical="center"/>
    </xf>
    <xf numFmtId="165" fontId="3" fillId="34" borderId="13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167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67" fontId="1" fillId="34" borderId="0" xfId="0" applyNumberFormat="1" applyFont="1" applyFill="1" applyAlignment="1">
      <alignment vertical="center"/>
    </xf>
    <xf numFmtId="3" fontId="1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/>
    </xf>
    <xf numFmtId="0" fontId="3" fillId="34" borderId="17" xfId="0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center"/>
    </xf>
    <xf numFmtId="49" fontId="1" fillId="34" borderId="16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2" fillId="34" borderId="16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2" fillId="35" borderId="16" xfId="0" applyFont="1" applyFill="1" applyBorder="1" applyAlignment="1">
      <alignment horizontal="right" vertical="center" wrapText="1"/>
    </xf>
    <xf numFmtId="0" fontId="1" fillId="35" borderId="16" xfId="0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vertical="center"/>
    </xf>
    <xf numFmtId="1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4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7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Q12" sqref="Q12"/>
    </sheetView>
  </sheetViews>
  <sheetFormatPr defaultColWidth="9.140625" defaultRowHeight="12.75" outlineLevelCol="1"/>
  <cols>
    <col min="1" max="1" width="4.7109375" style="2" customWidth="1"/>
    <col min="2" max="2" width="12.28125" style="2" customWidth="1"/>
    <col min="3" max="3" width="14.140625" style="3" customWidth="1" outlineLevel="1"/>
    <col min="4" max="4" width="9.14062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3" t="s">
        <v>9</v>
      </c>
      <c r="L1" s="236"/>
      <c r="M1" s="163"/>
      <c r="N1" s="164"/>
      <c r="O1" s="164"/>
      <c r="P1" s="164"/>
    </row>
    <row r="2" spans="1:16" s="1" customFormat="1" ht="12">
      <c r="A2" s="74">
        <v>1</v>
      </c>
      <c r="B2" s="74" t="s">
        <v>45</v>
      </c>
      <c r="C2" s="155" t="s">
        <v>45</v>
      </c>
      <c r="D2" s="76" t="s">
        <v>27</v>
      </c>
      <c r="E2" s="74">
        <v>2</v>
      </c>
      <c r="F2" s="74" t="str">
        <f aca="true" t="shared" si="0" ref="F2:F23">IF(E2=2,"budynek gospodarczy","budynek mieszkalny")</f>
        <v>budynek gospodarczy</v>
      </c>
      <c r="G2" s="74" t="s">
        <v>10</v>
      </c>
      <c r="H2" s="77">
        <f>6*2*30</f>
        <v>360</v>
      </c>
      <c r="I2" s="78">
        <f>0.017*H2</f>
        <v>6.12</v>
      </c>
      <c r="J2" s="79" t="s">
        <v>26</v>
      </c>
      <c r="K2" s="154" t="s">
        <v>203</v>
      </c>
      <c r="L2" s="239"/>
      <c r="M2" s="165"/>
      <c r="N2" s="166"/>
      <c r="O2" s="166"/>
      <c r="P2" s="167"/>
    </row>
    <row r="3" spans="1:16" s="1" customFormat="1" ht="12">
      <c r="A3" s="74">
        <v>2</v>
      </c>
      <c r="B3" s="74" t="s">
        <v>45</v>
      </c>
      <c r="C3" s="155" t="s">
        <v>45</v>
      </c>
      <c r="D3" s="76" t="s">
        <v>27</v>
      </c>
      <c r="E3" s="74">
        <v>2</v>
      </c>
      <c r="F3" s="74" t="str">
        <f t="shared" si="0"/>
        <v>budynek gospodarczy</v>
      </c>
      <c r="G3" s="74" t="s">
        <v>10</v>
      </c>
      <c r="H3" s="77">
        <f>6*2*12</f>
        <v>144</v>
      </c>
      <c r="I3" s="78">
        <f aca="true" t="shared" si="1" ref="I3:I23">0.017*H3</f>
        <v>2.4480000000000004</v>
      </c>
      <c r="J3" s="79" t="s">
        <v>26</v>
      </c>
      <c r="K3" s="154" t="s">
        <v>203</v>
      </c>
      <c r="L3" s="239"/>
      <c r="M3" s="165"/>
      <c r="N3" s="166"/>
      <c r="O3" s="166"/>
      <c r="P3" s="167"/>
    </row>
    <row r="4" spans="1:16" s="1" customFormat="1" ht="12">
      <c r="A4" s="74">
        <v>3</v>
      </c>
      <c r="B4" s="74" t="s">
        <v>45</v>
      </c>
      <c r="C4" s="155" t="s">
        <v>45</v>
      </c>
      <c r="D4" s="76" t="s">
        <v>27</v>
      </c>
      <c r="E4" s="74">
        <v>2</v>
      </c>
      <c r="F4" s="74" t="str">
        <f>IF(E4=2,"budynek gospodarczy","budynek mieszkalny")</f>
        <v>budynek gospodarczy</v>
      </c>
      <c r="G4" s="74" t="s">
        <v>10</v>
      </c>
      <c r="H4" s="77">
        <f>9*6</f>
        <v>54</v>
      </c>
      <c r="I4" s="78">
        <f t="shared" si="1"/>
        <v>0.918</v>
      </c>
      <c r="J4" s="79" t="s">
        <v>24</v>
      </c>
      <c r="K4" s="79" t="s">
        <v>71</v>
      </c>
      <c r="L4" s="165"/>
      <c r="M4" s="165"/>
      <c r="N4" s="166"/>
      <c r="O4" s="166"/>
      <c r="P4" s="167"/>
    </row>
    <row r="5" spans="1:16" s="1" customFormat="1" ht="12">
      <c r="A5" s="74">
        <v>4</v>
      </c>
      <c r="B5" s="74" t="s">
        <v>45</v>
      </c>
      <c r="C5" s="155" t="s">
        <v>45</v>
      </c>
      <c r="D5" s="76" t="s">
        <v>27</v>
      </c>
      <c r="E5" s="74">
        <v>2</v>
      </c>
      <c r="F5" s="74" t="str">
        <f t="shared" si="0"/>
        <v>budynek gospodarczy</v>
      </c>
      <c r="G5" s="74" t="s">
        <v>10</v>
      </c>
      <c r="H5" s="77">
        <f>6*10</f>
        <v>60</v>
      </c>
      <c r="I5" s="78">
        <f t="shared" si="1"/>
        <v>1.02</v>
      </c>
      <c r="J5" s="79" t="s">
        <v>24</v>
      </c>
      <c r="K5" s="79" t="s">
        <v>71</v>
      </c>
      <c r="L5" s="165"/>
      <c r="M5" s="165"/>
      <c r="N5" s="166"/>
      <c r="O5" s="166"/>
      <c r="P5" s="167"/>
    </row>
    <row r="6" spans="1:16" s="1" customFormat="1" ht="12">
      <c r="A6" s="74">
        <v>5</v>
      </c>
      <c r="B6" s="74" t="s">
        <v>45</v>
      </c>
      <c r="C6" s="155" t="s">
        <v>45</v>
      </c>
      <c r="D6" s="76" t="s">
        <v>27</v>
      </c>
      <c r="E6" s="74">
        <v>2</v>
      </c>
      <c r="F6" s="74" t="str">
        <f t="shared" si="0"/>
        <v>budynek gospodarczy</v>
      </c>
      <c r="G6" s="74" t="s">
        <v>10</v>
      </c>
      <c r="H6" s="77">
        <f>9*9</f>
        <v>81</v>
      </c>
      <c r="I6" s="78">
        <f t="shared" si="1"/>
        <v>1.377</v>
      </c>
      <c r="J6" s="79" t="s">
        <v>24</v>
      </c>
      <c r="K6" s="79" t="s">
        <v>71</v>
      </c>
      <c r="L6" s="165"/>
      <c r="M6" s="165"/>
      <c r="N6" s="166"/>
      <c r="O6" s="166"/>
      <c r="P6" s="167"/>
    </row>
    <row r="7" spans="1:16" s="57" customFormat="1" ht="11.25">
      <c r="A7" s="74">
        <v>6</v>
      </c>
      <c r="B7" s="74" t="s">
        <v>45</v>
      </c>
      <c r="C7" s="155" t="s">
        <v>45</v>
      </c>
      <c r="D7" s="76" t="s">
        <v>46</v>
      </c>
      <c r="E7" s="74">
        <v>2</v>
      </c>
      <c r="F7" s="74" t="str">
        <f t="shared" si="0"/>
        <v>budynek gospodarczy</v>
      </c>
      <c r="G7" s="74" t="s">
        <v>10</v>
      </c>
      <c r="H7" s="77">
        <f>5*2*24</f>
        <v>240</v>
      </c>
      <c r="I7" s="78">
        <f t="shared" si="1"/>
        <v>4.08</v>
      </c>
      <c r="J7" s="79" t="s">
        <v>26</v>
      </c>
      <c r="K7" s="79" t="s">
        <v>72</v>
      </c>
      <c r="L7" s="165"/>
      <c r="M7" s="165"/>
      <c r="N7" s="166"/>
      <c r="O7" s="166"/>
      <c r="P7" s="167"/>
    </row>
    <row r="8" spans="1:16" s="57" customFormat="1" ht="11.25">
      <c r="A8" s="74">
        <v>7</v>
      </c>
      <c r="B8" s="74" t="s">
        <v>45</v>
      </c>
      <c r="C8" s="155" t="s">
        <v>45</v>
      </c>
      <c r="D8" s="76" t="s">
        <v>32</v>
      </c>
      <c r="E8" s="74">
        <v>0</v>
      </c>
      <c r="F8" s="74" t="str">
        <f t="shared" si="0"/>
        <v>budynek mieszkalny</v>
      </c>
      <c r="G8" s="74" t="s">
        <v>10</v>
      </c>
      <c r="H8" s="77">
        <f>2*2*2</f>
        <v>8</v>
      </c>
      <c r="I8" s="78">
        <f t="shared" si="1"/>
        <v>0.136</v>
      </c>
      <c r="J8" s="79" t="s">
        <v>23</v>
      </c>
      <c r="K8" s="79" t="s">
        <v>70</v>
      </c>
      <c r="L8" s="165"/>
      <c r="M8" s="165"/>
      <c r="N8" s="167"/>
      <c r="O8" s="167"/>
      <c r="P8" s="167"/>
    </row>
    <row r="9" spans="1:16" s="57" customFormat="1" ht="11.25">
      <c r="A9" s="74">
        <v>8</v>
      </c>
      <c r="B9" s="74" t="s">
        <v>45</v>
      </c>
      <c r="C9" s="155" t="s">
        <v>45</v>
      </c>
      <c r="D9" s="76" t="s">
        <v>47</v>
      </c>
      <c r="E9" s="74">
        <v>0</v>
      </c>
      <c r="F9" s="74" t="str">
        <f t="shared" si="0"/>
        <v>budynek mieszkalny</v>
      </c>
      <c r="G9" s="74" t="s">
        <v>10</v>
      </c>
      <c r="H9" s="77">
        <f>5*2*8</f>
        <v>80</v>
      </c>
      <c r="I9" s="78">
        <f t="shared" si="1"/>
        <v>1.36</v>
      </c>
      <c r="J9" s="79" t="s">
        <v>24</v>
      </c>
      <c r="K9" s="79" t="s">
        <v>71</v>
      </c>
      <c r="L9" s="165"/>
      <c r="M9" s="165"/>
      <c r="N9" s="167"/>
      <c r="O9" s="167"/>
      <c r="P9" s="167"/>
    </row>
    <row r="10" spans="1:16" s="57" customFormat="1" ht="11.25">
      <c r="A10" s="74">
        <v>9</v>
      </c>
      <c r="B10" s="74" t="s">
        <v>45</v>
      </c>
      <c r="C10" s="155" t="s">
        <v>45</v>
      </c>
      <c r="D10" s="76" t="s">
        <v>48</v>
      </c>
      <c r="E10" s="74">
        <v>2</v>
      </c>
      <c r="F10" s="74" t="str">
        <f t="shared" si="0"/>
        <v>budynek gospodarczy</v>
      </c>
      <c r="G10" s="74" t="s">
        <v>10</v>
      </c>
      <c r="H10" s="77">
        <f>5*2*20</f>
        <v>200</v>
      </c>
      <c r="I10" s="78">
        <f t="shared" si="1"/>
        <v>3.4000000000000004</v>
      </c>
      <c r="J10" s="79" t="s">
        <v>26</v>
      </c>
      <c r="K10" s="79" t="s">
        <v>72</v>
      </c>
      <c r="L10" s="165"/>
      <c r="M10" s="165"/>
      <c r="N10" s="167"/>
      <c r="O10" s="167"/>
      <c r="P10" s="167"/>
    </row>
    <row r="11" spans="1:16" s="57" customFormat="1" ht="11.25">
      <c r="A11" s="74">
        <v>10</v>
      </c>
      <c r="B11" s="74" t="s">
        <v>45</v>
      </c>
      <c r="C11" s="155" t="s">
        <v>45</v>
      </c>
      <c r="D11" s="76" t="s">
        <v>31</v>
      </c>
      <c r="E11" s="74">
        <v>2</v>
      </c>
      <c r="F11" s="74" t="str">
        <f t="shared" si="0"/>
        <v>budynek gospodarczy</v>
      </c>
      <c r="G11" s="74" t="s">
        <v>10</v>
      </c>
      <c r="H11" s="77">
        <f>5*12</f>
        <v>60</v>
      </c>
      <c r="I11" s="78">
        <f t="shared" si="1"/>
        <v>1.02</v>
      </c>
      <c r="J11" s="79" t="s">
        <v>26</v>
      </c>
      <c r="K11" s="79" t="s">
        <v>72</v>
      </c>
      <c r="L11" s="165"/>
      <c r="M11" s="165"/>
      <c r="N11" s="167"/>
      <c r="O11" s="167"/>
      <c r="P11" s="167"/>
    </row>
    <row r="12" spans="1:16" s="57" customFormat="1" ht="11.25">
      <c r="A12" s="74">
        <v>11</v>
      </c>
      <c r="B12" s="74" t="s">
        <v>45</v>
      </c>
      <c r="C12" s="155" t="s">
        <v>45</v>
      </c>
      <c r="D12" s="76" t="s">
        <v>31</v>
      </c>
      <c r="E12" s="74">
        <v>2</v>
      </c>
      <c r="F12" s="74" t="str">
        <f t="shared" si="0"/>
        <v>budynek gospodarczy</v>
      </c>
      <c r="G12" s="74" t="s">
        <v>10</v>
      </c>
      <c r="H12" s="77">
        <f>6*16</f>
        <v>96</v>
      </c>
      <c r="I12" s="78">
        <f t="shared" si="1"/>
        <v>1.6320000000000001</v>
      </c>
      <c r="J12" s="79" t="s">
        <v>26</v>
      </c>
      <c r="K12" s="79" t="s">
        <v>72</v>
      </c>
      <c r="L12" s="165"/>
      <c r="M12" s="165"/>
      <c r="N12" s="167"/>
      <c r="O12" s="167"/>
      <c r="P12" s="167"/>
    </row>
    <row r="13" spans="1:16" s="57" customFormat="1" ht="11.25">
      <c r="A13" s="74">
        <v>12</v>
      </c>
      <c r="B13" s="74" t="s">
        <v>45</v>
      </c>
      <c r="C13" s="155" t="s">
        <v>45</v>
      </c>
      <c r="D13" s="76" t="s">
        <v>49</v>
      </c>
      <c r="E13" s="74">
        <v>0</v>
      </c>
      <c r="F13" s="74" t="str">
        <f t="shared" si="0"/>
        <v>budynek mieszkalny</v>
      </c>
      <c r="G13" s="74" t="s">
        <v>10</v>
      </c>
      <c r="H13" s="77">
        <f>6*2*10</f>
        <v>120</v>
      </c>
      <c r="I13" s="78">
        <f t="shared" si="1"/>
        <v>2.04</v>
      </c>
      <c r="J13" s="79" t="s">
        <v>24</v>
      </c>
      <c r="K13" s="79" t="s">
        <v>71</v>
      </c>
      <c r="L13" s="165"/>
      <c r="M13" s="165"/>
      <c r="N13" s="167"/>
      <c r="O13" s="167"/>
      <c r="P13" s="167"/>
    </row>
    <row r="14" spans="1:16" s="57" customFormat="1" ht="11.25">
      <c r="A14" s="74">
        <v>13</v>
      </c>
      <c r="B14" s="74" t="s">
        <v>45</v>
      </c>
      <c r="C14" s="155" t="s">
        <v>45</v>
      </c>
      <c r="D14" s="76" t="s">
        <v>49</v>
      </c>
      <c r="E14" s="74">
        <v>2</v>
      </c>
      <c r="F14" s="74" t="str">
        <f t="shared" si="0"/>
        <v>budynek gospodarczy</v>
      </c>
      <c r="G14" s="74" t="s">
        <v>10</v>
      </c>
      <c r="H14" s="77">
        <f>6*2*20</f>
        <v>240</v>
      </c>
      <c r="I14" s="78">
        <f t="shared" si="1"/>
        <v>4.08</v>
      </c>
      <c r="J14" s="79" t="s">
        <v>26</v>
      </c>
      <c r="K14" s="79" t="s">
        <v>72</v>
      </c>
      <c r="L14" s="165"/>
      <c r="M14" s="165"/>
      <c r="N14" s="167"/>
      <c r="O14" s="167"/>
      <c r="P14" s="167"/>
    </row>
    <row r="15" spans="1:16" s="57" customFormat="1" ht="11.25">
      <c r="A15" s="74">
        <v>14</v>
      </c>
      <c r="B15" s="74" t="s">
        <v>45</v>
      </c>
      <c r="C15" s="155" t="s">
        <v>45</v>
      </c>
      <c r="D15" s="76" t="s">
        <v>50</v>
      </c>
      <c r="E15" s="74">
        <v>2</v>
      </c>
      <c r="F15" s="74" t="str">
        <f t="shared" si="0"/>
        <v>budynek gospodarczy</v>
      </c>
      <c r="G15" s="74" t="s">
        <v>10</v>
      </c>
      <c r="H15" s="77">
        <f>4*4</f>
        <v>16</v>
      </c>
      <c r="I15" s="78">
        <f t="shared" si="1"/>
        <v>0.272</v>
      </c>
      <c r="J15" s="79" t="s">
        <v>23</v>
      </c>
      <c r="K15" s="79" t="s">
        <v>70</v>
      </c>
      <c r="L15" s="165"/>
      <c r="M15" s="165"/>
      <c r="N15" s="167"/>
      <c r="O15" s="167"/>
      <c r="P15" s="167"/>
    </row>
    <row r="16" spans="1:16" s="57" customFormat="1" ht="11.25">
      <c r="A16" s="74">
        <v>15</v>
      </c>
      <c r="B16" s="74" t="s">
        <v>45</v>
      </c>
      <c r="C16" s="155" t="s">
        <v>45</v>
      </c>
      <c r="D16" s="76" t="s">
        <v>51</v>
      </c>
      <c r="E16" s="74">
        <v>2</v>
      </c>
      <c r="F16" s="74" t="str">
        <f t="shared" si="0"/>
        <v>budynek gospodarczy</v>
      </c>
      <c r="G16" s="74" t="s">
        <v>10</v>
      </c>
      <c r="H16" s="77">
        <f>5*2*30</f>
        <v>300</v>
      </c>
      <c r="I16" s="78">
        <f t="shared" si="1"/>
        <v>5.1000000000000005</v>
      </c>
      <c r="J16" s="79" t="s">
        <v>26</v>
      </c>
      <c r="K16" s="79" t="s">
        <v>72</v>
      </c>
      <c r="L16" s="165"/>
      <c r="M16" s="165"/>
      <c r="N16" s="167"/>
      <c r="O16" s="167"/>
      <c r="P16" s="167"/>
    </row>
    <row r="17" spans="1:16" s="57" customFormat="1" ht="11.25">
      <c r="A17" s="74">
        <v>16</v>
      </c>
      <c r="B17" s="39" t="s">
        <v>45</v>
      </c>
      <c r="C17" s="155" t="s">
        <v>45</v>
      </c>
      <c r="D17" s="156" t="s">
        <v>204</v>
      </c>
      <c r="E17" s="74">
        <v>3</v>
      </c>
      <c r="F17" s="39" t="s">
        <v>18</v>
      </c>
      <c r="G17" s="39" t="s">
        <v>10</v>
      </c>
      <c r="H17" s="77">
        <v>45</v>
      </c>
      <c r="I17" s="78">
        <f t="shared" si="1"/>
        <v>0.765</v>
      </c>
      <c r="J17" s="154" t="s">
        <v>23</v>
      </c>
      <c r="K17" s="154" t="s">
        <v>203</v>
      </c>
      <c r="L17" s="239"/>
      <c r="M17" s="165"/>
      <c r="N17" s="167"/>
      <c r="O17" s="167"/>
      <c r="P17" s="167"/>
    </row>
    <row r="18" spans="1:16" s="57" customFormat="1" ht="11.25">
      <c r="A18" s="74">
        <v>17</v>
      </c>
      <c r="B18" s="74" t="s">
        <v>45</v>
      </c>
      <c r="C18" s="155" t="s">
        <v>45</v>
      </c>
      <c r="D18" s="156" t="s">
        <v>204</v>
      </c>
      <c r="E18" s="74">
        <v>2</v>
      </c>
      <c r="F18" s="74" t="str">
        <f t="shared" si="0"/>
        <v>budynek gospodarczy</v>
      </c>
      <c r="G18" s="74" t="s">
        <v>10</v>
      </c>
      <c r="H18" s="77">
        <v>500</v>
      </c>
      <c r="I18" s="78">
        <f t="shared" si="1"/>
        <v>8.5</v>
      </c>
      <c r="J18" s="79" t="s">
        <v>26</v>
      </c>
      <c r="K18" s="154" t="s">
        <v>203</v>
      </c>
      <c r="L18" s="239"/>
      <c r="M18" s="165"/>
      <c r="N18" s="167"/>
      <c r="O18" s="167"/>
      <c r="P18" s="167"/>
    </row>
    <row r="19" spans="1:16" s="57" customFormat="1" ht="11.25">
      <c r="A19" s="74">
        <v>18</v>
      </c>
      <c r="B19" s="39" t="s">
        <v>45</v>
      </c>
      <c r="C19" s="155" t="s">
        <v>45</v>
      </c>
      <c r="D19" s="156" t="s">
        <v>205</v>
      </c>
      <c r="E19" s="74">
        <v>3</v>
      </c>
      <c r="F19" s="39" t="s">
        <v>18</v>
      </c>
      <c r="G19" s="39" t="s">
        <v>10</v>
      </c>
      <c r="H19" s="77">
        <v>55</v>
      </c>
      <c r="I19" s="78">
        <f t="shared" si="1"/>
        <v>0.935</v>
      </c>
      <c r="J19" s="154" t="s">
        <v>23</v>
      </c>
      <c r="K19" s="154" t="s">
        <v>203</v>
      </c>
      <c r="L19" s="239"/>
      <c r="M19" s="165"/>
      <c r="N19" s="167"/>
      <c r="O19" s="167"/>
      <c r="P19" s="167"/>
    </row>
    <row r="20" spans="1:16" s="57" customFormat="1" ht="11.25">
      <c r="A20" s="74">
        <v>19</v>
      </c>
      <c r="B20" s="39" t="s">
        <v>45</v>
      </c>
      <c r="C20" s="155" t="s">
        <v>45</v>
      </c>
      <c r="D20" s="156" t="s">
        <v>105</v>
      </c>
      <c r="E20" s="74">
        <v>3</v>
      </c>
      <c r="F20" s="39" t="s">
        <v>18</v>
      </c>
      <c r="G20" s="39" t="s">
        <v>10</v>
      </c>
      <c r="H20" s="77">
        <v>100</v>
      </c>
      <c r="I20" s="78">
        <f t="shared" si="1"/>
        <v>1.7000000000000002</v>
      </c>
      <c r="J20" s="154" t="s">
        <v>23</v>
      </c>
      <c r="K20" s="154" t="s">
        <v>203</v>
      </c>
      <c r="L20" s="239"/>
      <c r="M20" s="165"/>
      <c r="N20" s="167"/>
      <c r="O20" s="167"/>
      <c r="P20" s="167"/>
    </row>
    <row r="21" spans="1:16" s="57" customFormat="1" ht="11.25">
      <c r="A21" s="74">
        <v>20</v>
      </c>
      <c r="B21" s="74" t="s">
        <v>45</v>
      </c>
      <c r="C21" s="155" t="s">
        <v>45</v>
      </c>
      <c r="D21" s="76" t="s">
        <v>52</v>
      </c>
      <c r="E21" s="74">
        <v>2</v>
      </c>
      <c r="F21" s="74" t="str">
        <f t="shared" si="0"/>
        <v>budynek gospodarczy</v>
      </c>
      <c r="G21" s="74" t="s">
        <v>10</v>
      </c>
      <c r="H21" s="77">
        <f>4*10</f>
        <v>40</v>
      </c>
      <c r="I21" s="78">
        <f t="shared" si="1"/>
        <v>0.68</v>
      </c>
      <c r="J21" s="79" t="s">
        <v>23</v>
      </c>
      <c r="K21" s="79" t="s">
        <v>70</v>
      </c>
      <c r="L21" s="165"/>
      <c r="M21" s="165"/>
      <c r="N21" s="167"/>
      <c r="O21" s="167"/>
      <c r="P21" s="167"/>
    </row>
    <row r="22" spans="1:16" s="57" customFormat="1" ht="11.25">
      <c r="A22" s="80">
        <v>21</v>
      </c>
      <c r="B22" s="80" t="s">
        <v>45</v>
      </c>
      <c r="C22" s="214" t="s">
        <v>45</v>
      </c>
      <c r="D22" s="81" t="s">
        <v>190</v>
      </c>
      <c r="E22" s="80">
        <v>2</v>
      </c>
      <c r="F22" s="80" t="str">
        <f t="shared" si="0"/>
        <v>budynek gospodarczy</v>
      </c>
      <c r="G22" s="80" t="s">
        <v>10</v>
      </c>
      <c r="H22" s="82">
        <v>64</v>
      </c>
      <c r="I22" s="78">
        <f t="shared" si="1"/>
        <v>1.088</v>
      </c>
      <c r="J22" s="83" t="s">
        <v>23</v>
      </c>
      <c r="K22" s="83" t="s">
        <v>71</v>
      </c>
      <c r="L22" s="168"/>
      <c r="M22" s="168"/>
      <c r="N22" s="167"/>
      <c r="O22" s="167"/>
      <c r="P22" s="167"/>
    </row>
    <row r="23" spans="1:16" s="57" customFormat="1" ht="11.25">
      <c r="A23" s="80">
        <v>22</v>
      </c>
      <c r="B23" s="80" t="s">
        <v>45</v>
      </c>
      <c r="C23" s="214" t="s">
        <v>45</v>
      </c>
      <c r="D23" s="81" t="s">
        <v>190</v>
      </c>
      <c r="E23" s="80">
        <v>2</v>
      </c>
      <c r="F23" s="80" t="str">
        <f t="shared" si="0"/>
        <v>budynek gospodarczy</v>
      </c>
      <c r="G23" s="80" t="s">
        <v>10</v>
      </c>
      <c r="H23" s="82">
        <f>4*10</f>
        <v>40</v>
      </c>
      <c r="I23" s="78">
        <f t="shared" si="1"/>
        <v>0.68</v>
      </c>
      <c r="J23" s="83" t="s">
        <v>23</v>
      </c>
      <c r="K23" s="83" t="s">
        <v>70</v>
      </c>
      <c r="L23" s="168"/>
      <c r="M23" s="168"/>
      <c r="N23" s="167"/>
      <c r="O23" s="167"/>
      <c r="P23" s="167"/>
    </row>
    <row r="24" s="57" customFormat="1" ht="11.25"/>
    <row r="25" s="57" customFormat="1" ht="11.25"/>
    <row r="26" s="57" customFormat="1" ht="11.25"/>
    <row r="27" s="57" customFormat="1" ht="11.25">
      <c r="J27" s="57">
        <f>H32*0.017</f>
        <v>3.5360000000000005</v>
      </c>
    </row>
    <row r="28" spans="9:12" ht="11.25">
      <c r="I28" s="55"/>
      <c r="J28" s="5"/>
      <c r="K28" s="5"/>
      <c r="L28" s="5"/>
    </row>
    <row r="29" spans="7:12" ht="11.25">
      <c r="G29" s="2" t="s">
        <v>11</v>
      </c>
      <c r="H29" s="12">
        <f>SUM(H2:H27)</f>
        <v>2903</v>
      </c>
      <c r="I29" s="56">
        <f>SUM(I2:I27)</f>
        <v>49.351000000000006</v>
      </c>
      <c r="J29" s="6"/>
      <c r="K29" s="6"/>
      <c r="L29" s="6"/>
    </row>
    <row r="30" spans="10:15" ht="11.25">
      <c r="J30" s="259" t="s">
        <v>14</v>
      </c>
      <c r="K30" s="260"/>
      <c r="L30" s="260"/>
      <c r="M30" s="260"/>
      <c r="N30" s="260"/>
      <c r="O30" s="260"/>
    </row>
    <row r="31" spans="6:15" ht="11.25">
      <c r="F31" s="7" t="s">
        <v>12</v>
      </c>
      <c r="G31" s="7" t="s">
        <v>13</v>
      </c>
      <c r="H31" s="7" t="s">
        <v>14</v>
      </c>
      <c r="I31" s="7" t="s">
        <v>15</v>
      </c>
      <c r="J31" s="215" t="s">
        <v>199</v>
      </c>
      <c r="K31" s="215" t="s">
        <v>200</v>
      </c>
      <c r="L31" s="240">
        <v>2015</v>
      </c>
      <c r="M31" s="157">
        <v>2017</v>
      </c>
      <c r="N31" s="157">
        <v>2022</v>
      </c>
      <c r="O31" s="157">
        <v>2032</v>
      </c>
    </row>
    <row r="32" spans="6:15" ht="11.25">
      <c r="F32" s="37" t="s">
        <v>221</v>
      </c>
      <c r="G32" s="9">
        <v>3</v>
      </c>
      <c r="H32" s="11">
        <f>SUMIF(F$2:F23,F32,H$2:H23)</f>
        <v>208</v>
      </c>
      <c r="I32" s="11">
        <f>SUMIF(F$2:F23,F32,I$2:I23)</f>
        <v>3.536</v>
      </c>
      <c r="J32" s="216"/>
      <c r="K32" s="216">
        <v>0</v>
      </c>
      <c r="L32" s="11">
        <f>_xlfn.SUMIFS(H1:H23,K1:K23,L31,F1:F23,F32)</f>
        <v>0</v>
      </c>
      <c r="M32" s="11">
        <f>_xlfn.SUMIFS(H2:H23,K2:K23,M31,F2:F23,F32)</f>
        <v>8</v>
      </c>
      <c r="N32" s="11">
        <f>_xlfn.SUMIFS(H$2:H$23,K$2:K$23,N$31,F$2:F$23,F32)</f>
        <v>200</v>
      </c>
      <c r="O32" s="11">
        <f>_xlfn.SUMIFS(H$2:H$23,K$2:K$23,O$31,F$2:F$23,F32)</f>
        <v>0</v>
      </c>
    </row>
    <row r="33" spans="6:15" ht="11.25">
      <c r="F33" s="37" t="s">
        <v>192</v>
      </c>
      <c r="G33" s="9">
        <v>16</v>
      </c>
      <c r="H33" s="11">
        <f>SUMIF(F$2:F23,F33,H$2:H23)</f>
        <v>2495</v>
      </c>
      <c r="I33" s="11">
        <f>SUMIF(F$2:F23,F33,I$2:I23)</f>
        <v>42.415</v>
      </c>
      <c r="J33" s="242"/>
      <c r="K33" s="216">
        <v>452</v>
      </c>
      <c r="L33" s="11">
        <f>_xlfn.SUMIFS(H2:H23,K2:K23,L31,F2:F23,F33)</f>
        <v>1004</v>
      </c>
      <c r="M33" s="11">
        <f>_xlfn.SUMIFS(H2:H24,K2:K24,M31,F2:F24,F33)</f>
        <v>96</v>
      </c>
      <c r="N33" s="11">
        <f>_xlfn.SUMIFS(H$2:H$23,K$2:K$23,N$31,F$2:F$23,F33)</f>
        <v>259</v>
      </c>
      <c r="O33" s="11">
        <f>_xlfn.SUMIFS(H$2:H$23,K$2:K$23,O$31,F$2:F$23,F33)</f>
        <v>1136</v>
      </c>
    </row>
    <row r="34" spans="6:15" ht="11.25">
      <c r="F34" s="9" t="s">
        <v>18</v>
      </c>
      <c r="G34" s="9">
        <v>3</v>
      </c>
      <c r="H34" s="11">
        <f>SUMIF(F$2:F23,F34,H$2:H23)</f>
        <v>200</v>
      </c>
      <c r="I34" s="11">
        <f>SUMIF(F$2:F23,F34,I$2:I23)</f>
        <v>3.4000000000000004</v>
      </c>
      <c r="J34" s="216">
        <v>827.647</v>
      </c>
      <c r="K34" s="216">
        <v>211.88</v>
      </c>
      <c r="L34" s="11">
        <f>_xlfn.SUMIFS(H2:H23,K2:K23,L31,F2:F23,F34)</f>
        <v>200</v>
      </c>
      <c r="M34" s="11">
        <f>_xlfn.SUMIFS(H2:H25,K2:K25,M31,F2:F25,F34)</f>
        <v>0</v>
      </c>
      <c r="N34" s="11">
        <f>_xlfn.SUMIFS(H$2:H$23,K$2:K$23,N$31,F$2:F$23,F34)</f>
        <v>0</v>
      </c>
      <c r="O34" s="11">
        <f>_xlfn.SUMIFS(H$2:H$23,K$2:K$23,O$31,F$2:F$23,F34)</f>
        <v>0</v>
      </c>
    </row>
    <row r="35" spans="6:15" ht="11.25">
      <c r="F35" s="9" t="s">
        <v>10</v>
      </c>
      <c r="G35" s="9"/>
      <c r="H35" s="11">
        <f>SUMIF(G$2:G23,F35,H$2:H23)</f>
        <v>2903</v>
      </c>
      <c r="I35" s="11">
        <f>SUMIF(G$2:G23,F35,I$2:I23)</f>
        <v>49.351000000000006</v>
      </c>
      <c r="J35" s="216">
        <v>827.647</v>
      </c>
      <c r="K35" s="216">
        <v>663.88</v>
      </c>
      <c r="L35" s="11">
        <f>_xlfn.SUMIFS(H2:H24,K2:K24,L31,G2:G24,F35)</f>
        <v>1204</v>
      </c>
      <c r="M35" s="11">
        <f>_xlfn.SUMIFS(H2:H24,K2:K24,M31,G2:G24,F35)</f>
        <v>104</v>
      </c>
      <c r="N35" s="11">
        <f>_xlfn.SUMIFS(H2:H26,K2:K26,N31,G2:G26,F35)</f>
        <v>459</v>
      </c>
      <c r="O35" s="11">
        <f>_xlfn.SUMIFS(H2:H25,K2:K25,O31,G2:G25,F35)</f>
        <v>1136</v>
      </c>
    </row>
    <row r="36" spans="6:15" ht="11.25">
      <c r="F36" s="9" t="s">
        <v>19</v>
      </c>
      <c r="G36" s="9"/>
      <c r="H36" s="11">
        <f>SUMIF(G$7:I28,#REF!,H$7:H28)</f>
        <v>0</v>
      </c>
      <c r="I36" s="11">
        <f>SUMIF(G$2:G24,F36,I$2:I24)</f>
        <v>0</v>
      </c>
      <c r="J36" s="216"/>
      <c r="K36" s="216"/>
      <c r="L36" s="11"/>
      <c r="M36" s="11"/>
      <c r="N36" s="11"/>
      <c r="O36" s="11"/>
    </row>
    <row r="37" spans="6:15" ht="11.25">
      <c r="F37" s="9" t="s">
        <v>20</v>
      </c>
      <c r="G37" s="9"/>
      <c r="H37" s="11">
        <f>SUMIF(G$7:I29,#REF!,H$7:H29)</f>
        <v>0</v>
      </c>
      <c r="I37" s="11">
        <v>0</v>
      </c>
      <c r="J37" s="216"/>
      <c r="K37" s="216"/>
      <c r="L37" s="11"/>
      <c r="M37" s="11"/>
      <c r="N37" s="11"/>
      <c r="O37" s="11"/>
    </row>
    <row r="38" spans="6:15" ht="11.25">
      <c r="F38" s="9" t="s">
        <v>21</v>
      </c>
      <c r="G38" s="9"/>
      <c r="H38" s="11"/>
      <c r="I38" s="11"/>
      <c r="J38" s="216"/>
      <c r="K38" s="216"/>
      <c r="L38" s="11"/>
      <c r="M38" s="11"/>
      <c r="N38" s="11"/>
      <c r="O38" s="11"/>
    </row>
  </sheetData>
  <sheetProtection/>
  <autoFilter ref="A1:P27"/>
  <mergeCells count="1">
    <mergeCell ref="J30:O30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O7" sqref="O7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6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88" t="s">
        <v>0</v>
      </c>
      <c r="B1" s="88" t="s">
        <v>1</v>
      </c>
      <c r="C1" s="88" t="s">
        <v>2</v>
      </c>
      <c r="D1" s="89" t="s">
        <v>3</v>
      </c>
      <c r="E1" s="88"/>
      <c r="F1" s="88" t="s">
        <v>4</v>
      </c>
      <c r="G1" s="88" t="s">
        <v>5</v>
      </c>
      <c r="H1" s="88" t="s">
        <v>6</v>
      </c>
      <c r="I1" s="88" t="s">
        <v>7</v>
      </c>
      <c r="J1" s="88" t="s">
        <v>8</v>
      </c>
      <c r="K1" s="177" t="s">
        <v>9</v>
      </c>
      <c r="L1" s="234"/>
      <c r="M1" s="197"/>
      <c r="N1" s="180"/>
      <c r="O1" s="180"/>
      <c r="P1" s="180"/>
    </row>
    <row r="2" spans="1:16" s="57" customFormat="1" ht="11.25">
      <c r="A2" s="90">
        <v>1</v>
      </c>
      <c r="B2" s="90" t="s">
        <v>40</v>
      </c>
      <c r="C2" s="91" t="s">
        <v>40</v>
      </c>
      <c r="D2" s="92" t="s">
        <v>176</v>
      </c>
      <c r="E2" s="90">
        <v>2</v>
      </c>
      <c r="F2" s="90" t="str">
        <f>IF(E2=2,"budynek gospodarczy","budynek mieszkalny")</f>
        <v>budynek gospodarczy</v>
      </c>
      <c r="G2" s="90" t="s">
        <v>10</v>
      </c>
      <c r="H2" s="93">
        <f>4*5</f>
        <v>20</v>
      </c>
      <c r="I2" s="94">
        <f>0.017*H2</f>
        <v>0.34</v>
      </c>
      <c r="J2" s="95" t="s">
        <v>23</v>
      </c>
      <c r="K2" s="178" t="s">
        <v>70</v>
      </c>
      <c r="L2" s="185"/>
      <c r="M2" s="198"/>
      <c r="N2" s="182"/>
      <c r="O2" s="182"/>
      <c r="P2" s="182"/>
    </row>
    <row r="3" spans="1:16" s="57" customFormat="1" ht="11.25">
      <c r="A3" s="90">
        <v>2</v>
      </c>
      <c r="B3" s="90" t="s">
        <v>40</v>
      </c>
      <c r="C3" s="91" t="s">
        <v>40</v>
      </c>
      <c r="D3" s="92" t="s">
        <v>191</v>
      </c>
      <c r="E3" s="90">
        <v>2</v>
      </c>
      <c r="F3" s="90" t="s">
        <v>192</v>
      </c>
      <c r="G3" s="90" t="s">
        <v>10</v>
      </c>
      <c r="H3" s="93">
        <v>600</v>
      </c>
      <c r="I3" s="94">
        <f aca="true" t="shared" si="0" ref="I3:I14">0.017*H3</f>
        <v>10.200000000000001</v>
      </c>
      <c r="J3" s="95" t="s">
        <v>26</v>
      </c>
      <c r="K3" s="178" t="s">
        <v>72</v>
      </c>
      <c r="L3" s="185"/>
      <c r="M3" s="198"/>
      <c r="N3" s="182"/>
      <c r="O3" s="182"/>
      <c r="P3" s="182"/>
    </row>
    <row r="4" spans="1:16" s="57" customFormat="1" ht="11.25">
      <c r="A4" s="90">
        <v>3</v>
      </c>
      <c r="B4" s="90" t="s">
        <v>40</v>
      </c>
      <c r="C4" s="91" t="s">
        <v>40</v>
      </c>
      <c r="D4" s="92" t="s">
        <v>193</v>
      </c>
      <c r="E4" s="90">
        <v>2</v>
      </c>
      <c r="F4" s="90" t="s">
        <v>192</v>
      </c>
      <c r="G4" s="90" t="s">
        <v>10</v>
      </c>
      <c r="H4" s="93">
        <v>100</v>
      </c>
      <c r="I4" s="94">
        <f t="shared" si="0"/>
        <v>1.7000000000000002</v>
      </c>
      <c r="J4" s="95" t="s">
        <v>26</v>
      </c>
      <c r="K4" s="178" t="s">
        <v>72</v>
      </c>
      <c r="L4" s="185"/>
      <c r="M4" s="198"/>
      <c r="N4" s="182"/>
      <c r="O4" s="182"/>
      <c r="P4" s="182"/>
    </row>
    <row r="5" spans="1:16" s="57" customFormat="1" ht="11.25">
      <c r="A5" s="90">
        <v>4</v>
      </c>
      <c r="B5" s="90" t="s">
        <v>40</v>
      </c>
      <c r="C5" s="91" t="s">
        <v>40</v>
      </c>
      <c r="D5" s="92" t="s">
        <v>193</v>
      </c>
      <c r="E5" s="90">
        <v>2</v>
      </c>
      <c r="F5" s="90" t="s">
        <v>192</v>
      </c>
      <c r="G5" s="90" t="s">
        <v>10</v>
      </c>
      <c r="H5" s="93">
        <v>60</v>
      </c>
      <c r="I5" s="94">
        <f t="shared" si="0"/>
        <v>1.02</v>
      </c>
      <c r="J5" s="95" t="s">
        <v>26</v>
      </c>
      <c r="K5" s="178" t="s">
        <v>72</v>
      </c>
      <c r="L5" s="185"/>
      <c r="M5" s="198"/>
      <c r="N5" s="182"/>
      <c r="O5" s="182"/>
      <c r="P5" s="182"/>
    </row>
    <row r="6" spans="1:16" s="57" customFormat="1" ht="11.25">
      <c r="A6" s="90">
        <v>5</v>
      </c>
      <c r="B6" s="90" t="s">
        <v>40</v>
      </c>
      <c r="C6" s="91" t="s">
        <v>40</v>
      </c>
      <c r="D6" s="92" t="s">
        <v>193</v>
      </c>
      <c r="E6" s="90">
        <v>2</v>
      </c>
      <c r="F6" s="90" t="s">
        <v>192</v>
      </c>
      <c r="G6" s="90" t="s">
        <v>10</v>
      </c>
      <c r="H6" s="93">
        <v>20</v>
      </c>
      <c r="I6" s="94">
        <f t="shared" si="0"/>
        <v>0.34</v>
      </c>
      <c r="J6" s="95" t="s">
        <v>23</v>
      </c>
      <c r="K6" s="178" t="s">
        <v>70</v>
      </c>
      <c r="L6" s="185"/>
      <c r="M6" s="198"/>
      <c r="N6" s="182"/>
      <c r="O6" s="182"/>
      <c r="P6" s="182"/>
    </row>
    <row r="7" spans="1:16" s="57" customFormat="1" ht="11.25">
      <c r="A7" s="90">
        <v>6</v>
      </c>
      <c r="B7" s="90" t="s">
        <v>40</v>
      </c>
      <c r="C7" s="91" t="s">
        <v>40</v>
      </c>
      <c r="D7" s="92" t="s">
        <v>177</v>
      </c>
      <c r="E7" s="90">
        <v>2</v>
      </c>
      <c r="F7" s="90" t="str">
        <f>IF(E7=2,"budynek gospodarczy","budynek mieszkalny")</f>
        <v>budynek gospodarczy</v>
      </c>
      <c r="G7" s="90" t="s">
        <v>10</v>
      </c>
      <c r="H7" s="93">
        <f>(2+3)*5</f>
        <v>25</v>
      </c>
      <c r="I7" s="94">
        <f t="shared" si="0"/>
        <v>0.42500000000000004</v>
      </c>
      <c r="J7" s="95" t="s">
        <v>23</v>
      </c>
      <c r="K7" s="178" t="s">
        <v>70</v>
      </c>
      <c r="L7" s="185"/>
      <c r="M7" s="198"/>
      <c r="N7" s="182"/>
      <c r="O7" s="182"/>
      <c r="P7" s="182"/>
    </row>
    <row r="8" spans="1:16" s="57" customFormat="1" ht="11.25">
      <c r="A8" s="90">
        <v>7</v>
      </c>
      <c r="B8" s="90" t="s">
        <v>40</v>
      </c>
      <c r="C8" s="91" t="s">
        <v>40</v>
      </c>
      <c r="D8" s="92" t="s">
        <v>194</v>
      </c>
      <c r="E8" s="90">
        <v>2</v>
      </c>
      <c r="F8" s="90" t="s">
        <v>192</v>
      </c>
      <c r="G8" s="90" t="s">
        <v>10</v>
      </c>
      <c r="H8" s="93">
        <v>40</v>
      </c>
      <c r="I8" s="94">
        <f t="shared" si="0"/>
        <v>0.68</v>
      </c>
      <c r="J8" s="95" t="s">
        <v>23</v>
      </c>
      <c r="K8" s="178" t="s">
        <v>70</v>
      </c>
      <c r="L8" s="185"/>
      <c r="M8" s="198"/>
      <c r="N8" s="182"/>
      <c r="O8" s="182"/>
      <c r="P8" s="182"/>
    </row>
    <row r="9" spans="1:16" s="57" customFormat="1" ht="11.25">
      <c r="A9" s="90">
        <v>8</v>
      </c>
      <c r="B9" s="90" t="s">
        <v>40</v>
      </c>
      <c r="C9" s="91" t="s">
        <v>40</v>
      </c>
      <c r="D9" s="92" t="s">
        <v>194</v>
      </c>
      <c r="E9" s="90">
        <v>2</v>
      </c>
      <c r="F9" s="90" t="s">
        <v>192</v>
      </c>
      <c r="G9" s="90" t="s">
        <v>10</v>
      </c>
      <c r="H9" s="93">
        <v>28</v>
      </c>
      <c r="I9" s="94">
        <f t="shared" si="0"/>
        <v>0.47600000000000003</v>
      </c>
      <c r="J9" s="95" t="s">
        <v>23</v>
      </c>
      <c r="K9" s="178" t="s">
        <v>70</v>
      </c>
      <c r="L9" s="185"/>
      <c r="M9" s="198"/>
      <c r="N9" s="182"/>
      <c r="O9" s="182"/>
      <c r="P9" s="182"/>
    </row>
    <row r="10" spans="1:16" s="57" customFormat="1" ht="11.25">
      <c r="A10" s="90">
        <v>9</v>
      </c>
      <c r="B10" s="158" t="s">
        <v>40</v>
      </c>
      <c r="C10" s="159" t="s">
        <v>40</v>
      </c>
      <c r="D10" s="160" t="s">
        <v>211</v>
      </c>
      <c r="E10" s="90">
        <v>3</v>
      </c>
      <c r="F10" s="158" t="s">
        <v>18</v>
      </c>
      <c r="G10" s="158" t="s">
        <v>19</v>
      </c>
      <c r="H10" s="93">
        <v>30</v>
      </c>
      <c r="I10" s="94">
        <f t="shared" si="0"/>
        <v>0.51</v>
      </c>
      <c r="J10" s="161" t="s">
        <v>23</v>
      </c>
      <c r="K10" s="179" t="s">
        <v>203</v>
      </c>
      <c r="L10" s="235"/>
      <c r="M10" s="198"/>
      <c r="N10" s="182"/>
      <c r="O10" s="182"/>
      <c r="P10" s="182"/>
    </row>
    <row r="11" spans="1:16" s="57" customFormat="1" ht="11.25">
      <c r="A11" s="90">
        <v>10</v>
      </c>
      <c r="B11" s="158" t="s">
        <v>40</v>
      </c>
      <c r="C11" s="159" t="s">
        <v>40</v>
      </c>
      <c r="D11" s="160" t="s">
        <v>211</v>
      </c>
      <c r="E11" s="90">
        <v>3</v>
      </c>
      <c r="F11" s="158" t="s">
        <v>18</v>
      </c>
      <c r="G11" s="158" t="s">
        <v>10</v>
      </c>
      <c r="H11" s="93">
        <v>400</v>
      </c>
      <c r="I11" s="94">
        <f t="shared" si="0"/>
        <v>6.800000000000001</v>
      </c>
      <c r="J11" s="161" t="s">
        <v>23</v>
      </c>
      <c r="K11" s="179" t="s">
        <v>203</v>
      </c>
      <c r="L11" s="235"/>
      <c r="M11" s="198"/>
      <c r="N11" s="182"/>
      <c r="O11" s="182"/>
      <c r="P11" s="182"/>
    </row>
    <row r="12" spans="1:16" s="57" customFormat="1" ht="11.25">
      <c r="A12" s="90">
        <v>11</v>
      </c>
      <c r="B12" s="158" t="s">
        <v>40</v>
      </c>
      <c r="C12" s="159" t="s">
        <v>40</v>
      </c>
      <c r="D12" s="160" t="s">
        <v>212</v>
      </c>
      <c r="E12" s="90">
        <v>3</v>
      </c>
      <c r="F12" s="158" t="s">
        <v>18</v>
      </c>
      <c r="G12" s="158" t="s">
        <v>20</v>
      </c>
      <c r="H12" s="93">
        <v>15</v>
      </c>
      <c r="I12" s="94">
        <f t="shared" si="0"/>
        <v>0.255</v>
      </c>
      <c r="J12" s="161" t="s">
        <v>23</v>
      </c>
      <c r="K12" s="179" t="s">
        <v>203</v>
      </c>
      <c r="L12" s="235"/>
      <c r="M12" s="198"/>
      <c r="N12" s="182"/>
      <c r="O12" s="182"/>
      <c r="P12" s="182"/>
    </row>
    <row r="13" spans="1:16" ht="11.25">
      <c r="A13" s="90">
        <v>12</v>
      </c>
      <c r="B13" s="98" t="s">
        <v>40</v>
      </c>
      <c r="C13" s="224" t="s">
        <v>40</v>
      </c>
      <c r="D13" s="100" t="s">
        <v>89</v>
      </c>
      <c r="E13" s="98">
        <v>2</v>
      </c>
      <c r="F13" s="98" t="str">
        <f>IF(E13=2,"budynek gospodarczy","budynek mieszkalny")</f>
        <v>budynek gospodarczy</v>
      </c>
      <c r="G13" s="98" t="s">
        <v>10</v>
      </c>
      <c r="H13" s="101">
        <f>5*6</f>
        <v>30</v>
      </c>
      <c r="I13" s="94">
        <f t="shared" si="0"/>
        <v>0.51</v>
      </c>
      <c r="J13" s="102" t="s">
        <v>23</v>
      </c>
      <c r="K13" s="193" t="s">
        <v>70</v>
      </c>
      <c r="L13" s="238"/>
      <c r="M13" s="199"/>
      <c r="N13" s="194"/>
      <c r="O13" s="194"/>
      <c r="P13" s="194"/>
    </row>
    <row r="14" spans="1:16" s="57" customFormat="1" ht="11.25">
      <c r="A14" s="90">
        <v>13</v>
      </c>
      <c r="B14" s="90" t="s">
        <v>40</v>
      </c>
      <c r="C14" s="91" t="s">
        <v>40</v>
      </c>
      <c r="D14" s="92" t="s">
        <v>89</v>
      </c>
      <c r="E14" s="90">
        <v>2</v>
      </c>
      <c r="F14" s="90" t="str">
        <f>IF(E14=2,"budynek gospodarczy","budynek mieszkalny")</f>
        <v>budynek gospodarczy</v>
      </c>
      <c r="G14" s="90" t="s">
        <v>10</v>
      </c>
      <c r="H14" s="93">
        <f>3*2*10</f>
        <v>60</v>
      </c>
      <c r="I14" s="94">
        <f t="shared" si="0"/>
        <v>1.02</v>
      </c>
      <c r="J14" s="95" t="s">
        <v>26</v>
      </c>
      <c r="K14" s="178" t="s">
        <v>72</v>
      </c>
      <c r="L14" s="185"/>
      <c r="M14" s="198"/>
      <c r="N14" s="182"/>
      <c r="O14" s="182"/>
      <c r="P14" s="182"/>
    </row>
    <row r="15" spans="1:16" ht="11.25">
      <c r="A15" s="103"/>
      <c r="B15" s="103"/>
      <c r="C15" s="104"/>
      <c r="D15" s="105"/>
      <c r="E15" s="103"/>
      <c r="F15" s="103"/>
      <c r="G15" s="103" t="s">
        <v>11</v>
      </c>
      <c r="H15" s="106">
        <f>SUM(H2:H14)</f>
        <v>1428</v>
      </c>
      <c r="I15" s="107">
        <f>SUM(I2:I14)</f>
        <v>24.276000000000003</v>
      </c>
      <c r="J15" s="108"/>
      <c r="K15" s="108"/>
      <c r="L15" s="108"/>
      <c r="M15" s="109"/>
      <c r="N15" s="103"/>
      <c r="O15" s="103"/>
      <c r="P15" s="103"/>
    </row>
    <row r="16" spans="1:16" ht="11.25">
      <c r="A16" s="103"/>
      <c r="B16" s="103"/>
      <c r="C16" s="104"/>
      <c r="D16" s="105"/>
      <c r="E16" s="103"/>
      <c r="F16" s="103"/>
      <c r="G16" s="103"/>
      <c r="H16" s="106"/>
      <c r="I16" s="107"/>
      <c r="J16" s="108"/>
      <c r="K16" s="108"/>
      <c r="L16" s="108"/>
      <c r="M16" s="109"/>
      <c r="N16" s="103"/>
      <c r="O16" s="103"/>
      <c r="P16" s="103"/>
    </row>
    <row r="17" spans="1:16" ht="11.25">
      <c r="A17" s="103"/>
      <c r="B17" s="103"/>
      <c r="C17" s="104"/>
      <c r="D17" s="105"/>
      <c r="E17" s="103"/>
      <c r="F17" s="103"/>
      <c r="G17" s="103"/>
      <c r="H17" s="106"/>
      <c r="I17" s="107"/>
      <c r="J17" s="108"/>
      <c r="K17" s="108"/>
      <c r="L17" s="108"/>
      <c r="M17" s="109"/>
      <c r="N17" s="103"/>
      <c r="O17" s="103"/>
      <c r="P17" s="103"/>
    </row>
    <row r="18" spans="10:15" ht="11.25">
      <c r="J18" s="259" t="s">
        <v>14</v>
      </c>
      <c r="K18" s="260"/>
      <c r="L18" s="260"/>
      <c r="M18" s="260"/>
      <c r="N18" s="260"/>
      <c r="O18" s="260"/>
    </row>
    <row r="19" spans="6:15" ht="11.25">
      <c r="F19" s="7" t="s">
        <v>12</v>
      </c>
      <c r="G19" s="7" t="s">
        <v>13</v>
      </c>
      <c r="H19" s="7" t="s">
        <v>14</v>
      </c>
      <c r="I19" s="7" t="s">
        <v>15</v>
      </c>
      <c r="J19" s="215" t="s">
        <v>201</v>
      </c>
      <c r="K19" s="215" t="s">
        <v>217</v>
      </c>
      <c r="L19" s="157">
        <v>2015</v>
      </c>
      <c r="M19" s="157">
        <v>2017</v>
      </c>
      <c r="N19" s="157">
        <v>2022</v>
      </c>
      <c r="O19" s="157">
        <v>2032</v>
      </c>
    </row>
    <row r="20" spans="6:15" ht="11.25">
      <c r="F20" s="37" t="s">
        <v>221</v>
      </c>
      <c r="G20" s="9"/>
      <c r="H20" s="11">
        <f>SUMIF(F$2:F14,F20,H$2:H14)</f>
        <v>0</v>
      </c>
      <c r="I20" s="11">
        <f>SUMIF(F$2:F14,F20,I$2:I14)</f>
        <v>0</v>
      </c>
      <c r="J20" s="216"/>
      <c r="K20" s="216"/>
      <c r="L20" s="11">
        <f>_xlfn.SUMIFS(H$2:H$14,K$2:K$14,L$19,F$2:F$14,F20)</f>
        <v>0</v>
      </c>
      <c r="M20" s="11">
        <f>_xlfn.SUMIFS(H$2:H$14,K$2:K$14,M$19,F$2:F$14,F20)</f>
        <v>0</v>
      </c>
      <c r="N20" s="11">
        <f>_xlfn.SUMIFS(H$2:H$14,K$2:K$14,N$19,F$2:F$14,F20)</f>
        <v>0</v>
      </c>
      <c r="O20" s="11">
        <f>_xlfn.SUMIFS(H$2:H$14,K$2:K$14,O$19,F$2:F$14,F20)</f>
        <v>0</v>
      </c>
    </row>
    <row r="21" spans="6:15" ht="11.25">
      <c r="F21" s="37" t="s">
        <v>192</v>
      </c>
      <c r="G21" s="9">
        <v>10</v>
      </c>
      <c r="H21" s="11">
        <f>SUMIF(F$2:F14,F21,H$2:H14)</f>
        <v>983</v>
      </c>
      <c r="I21" s="11">
        <f>SUMIF(F$2:F14,F21,I$2:I14)</f>
        <v>16.711000000000002</v>
      </c>
      <c r="J21" s="242"/>
      <c r="K21" s="216"/>
      <c r="L21" s="11">
        <f>_xlfn.SUMIFS(H$2:H$14,K$2:K$14,L$19,F$2:F$14,F21)</f>
        <v>0</v>
      </c>
      <c r="M21" s="11">
        <f>_xlfn.SUMIFS(H$2:H$14,K$2:K$14,M$19,F$2:F$14,F21)</f>
        <v>163</v>
      </c>
      <c r="N21" s="11">
        <f>_xlfn.SUMIFS(H$2:H$14,K$2:K$14,N$19,F$2:F$14,F21)</f>
        <v>0</v>
      </c>
      <c r="O21" s="11">
        <f>_xlfn.SUMIFS(H$2:H$14,K$2:K$14,O$19,F$2:F$14,F21)</f>
        <v>820</v>
      </c>
    </row>
    <row r="22" spans="6:15" ht="11.25">
      <c r="F22" s="9" t="s">
        <v>18</v>
      </c>
      <c r="G22" s="9">
        <v>3</v>
      </c>
      <c r="H22" s="11">
        <f>SUMIF(F$2:F14,F22,H$2:H14)</f>
        <v>445</v>
      </c>
      <c r="I22" s="11">
        <f>SUMIF(F$2:F14,F22,I$2:I14)</f>
        <v>7.565</v>
      </c>
      <c r="J22" s="216">
        <v>1128.235</v>
      </c>
      <c r="K22" s="216">
        <v>479.55</v>
      </c>
      <c r="L22" s="11">
        <f>_xlfn.SUMIFS(H$2:H$14,K$2:K$14,L$19,F$2:F$14,F22)</f>
        <v>445</v>
      </c>
      <c r="M22" s="11">
        <f>_xlfn.SUMIFS(H$2:H$14,K$2:K$14,M$19,F$2:F$14,F22)</f>
        <v>0</v>
      </c>
      <c r="N22" s="11">
        <f>_xlfn.SUMIFS(H$2:H$14,K$2:K$14,N$19,F$2:F$14,F22)</f>
        <v>0</v>
      </c>
      <c r="O22" s="11">
        <f>_xlfn.SUMIFS(H$2:H$14,K$2:K$14,O$19,F$2:F$14,F22)</f>
        <v>0</v>
      </c>
    </row>
    <row r="23" spans="6:15" ht="11.25">
      <c r="F23" s="9" t="s">
        <v>10</v>
      </c>
      <c r="G23" s="9"/>
      <c r="H23" s="11">
        <f>SUMIF(G$2:G14,F23,H$2:H14)</f>
        <v>1383</v>
      </c>
      <c r="I23" s="11">
        <f>SUMIF(G$2:G14,F23,I$2:I14)</f>
        <v>23.511000000000003</v>
      </c>
      <c r="J23" s="216">
        <v>1128.235</v>
      </c>
      <c r="K23" s="216">
        <v>479.55</v>
      </c>
      <c r="L23" s="11">
        <f>_xlfn.SUMIFS(H2:H14,K2:K14,L19,G2:G14,F23)</f>
        <v>400</v>
      </c>
      <c r="M23" s="11">
        <f>_xlfn.SUMIFS(H2:H14,K2:K14,M19,G2:G14,F23)</f>
        <v>163</v>
      </c>
      <c r="N23" s="11">
        <f>_xlfn.SUMIFS(H2:H14,K2:K14,N19,G2:G14,F23)</f>
        <v>0</v>
      </c>
      <c r="O23" s="11">
        <f>_xlfn.SUMIFS(H2:H14,K2:K14,O19,G2:G14,F23)</f>
        <v>820</v>
      </c>
    </row>
    <row r="24" spans="6:15" ht="11.25">
      <c r="F24" s="9" t="s">
        <v>19</v>
      </c>
      <c r="G24" s="9"/>
      <c r="H24" s="11">
        <f>SUMIF(G$2:G14,F24,H$2:H14)</f>
        <v>30</v>
      </c>
      <c r="I24" s="11">
        <f>SUMIF(G$2:G14,F24,I$2:I14)</f>
        <v>0.51</v>
      </c>
      <c r="J24" s="216"/>
      <c r="K24" s="216"/>
      <c r="L24" s="11">
        <f>_xlfn.SUMIFS(H2:H14,K2:K14,L19,G2:G14,F24)</f>
        <v>30</v>
      </c>
      <c r="M24" s="11"/>
      <c r="N24" s="246"/>
      <c r="O24" s="11"/>
    </row>
    <row r="25" spans="6:15" ht="11.25">
      <c r="F25" s="9" t="s">
        <v>20</v>
      </c>
      <c r="G25" s="9"/>
      <c r="H25" s="11">
        <f>SUMIF(G$2:G14,F25,H$2:H14)</f>
        <v>15</v>
      </c>
      <c r="I25" s="11">
        <f>SUMIF(G$2:G14,F25,I$2:I14)</f>
        <v>0.255</v>
      </c>
      <c r="J25" s="216"/>
      <c r="K25" s="216"/>
      <c r="L25" s="11">
        <f>_xlfn.SUMIFS(H2:H14,K2:K14,L19,G2:G14,F25)</f>
        <v>15</v>
      </c>
      <c r="M25" s="11"/>
      <c r="N25" s="246"/>
      <c r="O25" s="11"/>
    </row>
    <row r="26" spans="6:15" ht="11.25">
      <c r="F26" s="9" t="s">
        <v>21</v>
      </c>
      <c r="G26" s="9"/>
      <c r="H26" s="11"/>
      <c r="I26" s="11"/>
      <c r="J26" s="216"/>
      <c r="K26" s="216"/>
      <c r="L26" s="11"/>
      <c r="M26" s="11"/>
      <c r="N26" s="246"/>
      <c r="O26" s="11"/>
    </row>
  </sheetData>
  <sheetProtection/>
  <autoFilter ref="A1:P26"/>
  <mergeCells count="1">
    <mergeCell ref="J18:O18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D28" sqref="D27:D28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110" t="s">
        <v>0</v>
      </c>
      <c r="B1" s="110" t="s">
        <v>1</v>
      </c>
      <c r="C1" s="110" t="s">
        <v>2</v>
      </c>
      <c r="D1" s="111" t="s">
        <v>3</v>
      </c>
      <c r="E1" s="110"/>
      <c r="F1" s="110" t="s">
        <v>4</v>
      </c>
      <c r="G1" s="110" t="s">
        <v>5</v>
      </c>
      <c r="H1" s="110" t="s">
        <v>6</v>
      </c>
      <c r="I1" s="110" t="s">
        <v>7</v>
      </c>
      <c r="J1" s="110" t="s">
        <v>8</v>
      </c>
      <c r="K1" s="200" t="s">
        <v>9</v>
      </c>
      <c r="L1" s="237"/>
      <c r="M1" s="175"/>
      <c r="N1" s="164"/>
      <c r="O1" s="164"/>
      <c r="P1" s="164"/>
    </row>
    <row r="2" spans="1:16" s="57" customFormat="1" ht="11.25">
      <c r="A2" s="74">
        <v>1</v>
      </c>
      <c r="B2" s="74" t="s">
        <v>36</v>
      </c>
      <c r="C2" s="75" t="s">
        <v>36</v>
      </c>
      <c r="D2" s="76" t="s">
        <v>183</v>
      </c>
      <c r="E2" s="74">
        <v>2</v>
      </c>
      <c r="F2" s="74" t="str">
        <f aca="true" t="shared" si="0" ref="F2:F24">IF(E2=2,"budynek gospodarczy","budynek mieszkalny")</f>
        <v>budynek gospodarczy</v>
      </c>
      <c r="G2" s="74" t="s">
        <v>10</v>
      </c>
      <c r="H2" s="77">
        <f>6*2*80</f>
        <v>960</v>
      </c>
      <c r="I2" s="78">
        <f>0.017*H2</f>
        <v>16.32</v>
      </c>
      <c r="J2" s="79" t="s">
        <v>26</v>
      </c>
      <c r="K2" s="170" t="s">
        <v>72</v>
      </c>
      <c r="L2" s="165"/>
      <c r="M2" s="196"/>
      <c r="N2" s="167"/>
      <c r="O2" s="167"/>
      <c r="P2" s="167"/>
    </row>
    <row r="3" spans="1:16" s="57" customFormat="1" ht="11.25">
      <c r="A3" s="74">
        <v>2</v>
      </c>
      <c r="B3" s="74" t="s">
        <v>36</v>
      </c>
      <c r="C3" s="75" t="s">
        <v>36</v>
      </c>
      <c r="D3" s="76" t="s">
        <v>183</v>
      </c>
      <c r="E3" s="74">
        <v>2</v>
      </c>
      <c r="F3" s="74" t="str">
        <f t="shared" si="0"/>
        <v>budynek gospodarczy</v>
      </c>
      <c r="G3" s="74" t="s">
        <v>10</v>
      </c>
      <c r="H3" s="77">
        <f>5*8</f>
        <v>40</v>
      </c>
      <c r="I3" s="78">
        <f aca="true" t="shared" si="1" ref="I3:I21">0.017*H3</f>
        <v>0.68</v>
      </c>
      <c r="J3" s="79" t="s">
        <v>23</v>
      </c>
      <c r="K3" s="170" t="s">
        <v>70</v>
      </c>
      <c r="L3" s="165"/>
      <c r="M3" s="196"/>
      <c r="N3" s="167"/>
      <c r="O3" s="167"/>
      <c r="P3" s="167"/>
    </row>
    <row r="4" spans="1:16" s="57" customFormat="1" ht="11.25">
      <c r="A4" s="74">
        <v>3</v>
      </c>
      <c r="B4" s="74" t="s">
        <v>36</v>
      </c>
      <c r="C4" s="75" t="s">
        <v>36</v>
      </c>
      <c r="D4" s="76" t="s">
        <v>183</v>
      </c>
      <c r="E4" s="74">
        <v>2</v>
      </c>
      <c r="F4" s="74" t="str">
        <f t="shared" si="0"/>
        <v>budynek gospodarczy</v>
      </c>
      <c r="G4" s="74" t="s">
        <v>10</v>
      </c>
      <c r="H4" s="77">
        <f>3*2*18</f>
        <v>108</v>
      </c>
      <c r="I4" s="78">
        <f t="shared" si="1"/>
        <v>1.836</v>
      </c>
      <c r="J4" s="79" t="s">
        <v>26</v>
      </c>
      <c r="K4" s="170" t="s">
        <v>72</v>
      </c>
      <c r="L4" s="165"/>
      <c r="M4" s="196"/>
      <c r="N4" s="167"/>
      <c r="O4" s="167"/>
      <c r="P4" s="167"/>
    </row>
    <row r="5" spans="1:16" s="57" customFormat="1" ht="11.25">
      <c r="A5" s="74">
        <v>4</v>
      </c>
      <c r="B5" s="74" t="s">
        <v>36</v>
      </c>
      <c r="C5" s="75" t="s">
        <v>36</v>
      </c>
      <c r="D5" s="76" t="s">
        <v>113</v>
      </c>
      <c r="E5" s="74">
        <v>2</v>
      </c>
      <c r="F5" s="74" t="str">
        <f t="shared" si="0"/>
        <v>budynek gospodarczy</v>
      </c>
      <c r="G5" s="74" t="s">
        <v>10</v>
      </c>
      <c r="H5" s="77">
        <f>7*7</f>
        <v>49</v>
      </c>
      <c r="I5" s="78">
        <f t="shared" si="1"/>
        <v>0.8330000000000001</v>
      </c>
      <c r="J5" s="79" t="s">
        <v>23</v>
      </c>
      <c r="K5" s="170" t="s">
        <v>70</v>
      </c>
      <c r="L5" s="165"/>
      <c r="M5" s="196"/>
      <c r="N5" s="167"/>
      <c r="O5" s="167"/>
      <c r="P5" s="167"/>
    </row>
    <row r="6" spans="1:16" s="57" customFormat="1" ht="11.25">
      <c r="A6" s="74">
        <v>5</v>
      </c>
      <c r="B6" s="74" t="s">
        <v>36</v>
      </c>
      <c r="C6" s="75" t="s">
        <v>36</v>
      </c>
      <c r="D6" s="76" t="s">
        <v>113</v>
      </c>
      <c r="E6" s="74">
        <v>2</v>
      </c>
      <c r="F6" s="74" t="str">
        <f t="shared" si="0"/>
        <v>budynek gospodarczy</v>
      </c>
      <c r="G6" s="74" t="s">
        <v>10</v>
      </c>
      <c r="H6" s="77">
        <f>6*2*30</f>
        <v>360</v>
      </c>
      <c r="I6" s="78">
        <f t="shared" si="1"/>
        <v>6.12</v>
      </c>
      <c r="J6" s="79" t="s">
        <v>26</v>
      </c>
      <c r="K6" s="170" t="s">
        <v>72</v>
      </c>
      <c r="L6" s="165"/>
      <c r="M6" s="196"/>
      <c r="N6" s="167"/>
      <c r="O6" s="167"/>
      <c r="P6" s="167"/>
    </row>
    <row r="7" spans="1:16" s="57" customFormat="1" ht="11.25">
      <c r="A7" s="74">
        <v>6</v>
      </c>
      <c r="B7" s="74" t="s">
        <v>36</v>
      </c>
      <c r="C7" s="75" t="s">
        <v>36</v>
      </c>
      <c r="D7" s="76" t="s">
        <v>184</v>
      </c>
      <c r="E7" s="74">
        <v>2</v>
      </c>
      <c r="F7" s="74" t="str">
        <f t="shared" si="0"/>
        <v>budynek gospodarczy</v>
      </c>
      <c r="G7" s="74" t="s">
        <v>10</v>
      </c>
      <c r="H7" s="77">
        <f>3*3</f>
        <v>9</v>
      </c>
      <c r="I7" s="78">
        <f t="shared" si="1"/>
        <v>0.15300000000000002</v>
      </c>
      <c r="J7" s="79" t="s">
        <v>23</v>
      </c>
      <c r="K7" s="170" t="s">
        <v>70</v>
      </c>
      <c r="L7" s="165"/>
      <c r="M7" s="196"/>
      <c r="N7" s="167"/>
      <c r="O7" s="167"/>
      <c r="P7" s="167"/>
    </row>
    <row r="8" spans="1:16" s="57" customFormat="1" ht="11.25">
      <c r="A8" s="74">
        <v>7</v>
      </c>
      <c r="B8" s="74" t="s">
        <v>36</v>
      </c>
      <c r="C8" s="75" t="s">
        <v>36</v>
      </c>
      <c r="D8" s="76" t="s">
        <v>184</v>
      </c>
      <c r="E8" s="74">
        <v>2</v>
      </c>
      <c r="F8" s="74" t="str">
        <f t="shared" si="0"/>
        <v>budynek gospodarczy</v>
      </c>
      <c r="G8" s="74" t="s">
        <v>10</v>
      </c>
      <c r="H8" s="77">
        <f>7*7</f>
        <v>49</v>
      </c>
      <c r="I8" s="78">
        <f t="shared" si="1"/>
        <v>0.8330000000000001</v>
      </c>
      <c r="J8" s="79" t="s">
        <v>23</v>
      </c>
      <c r="K8" s="170" t="s">
        <v>70</v>
      </c>
      <c r="L8" s="165"/>
      <c r="M8" s="196"/>
      <c r="N8" s="167"/>
      <c r="O8" s="167"/>
      <c r="P8" s="167"/>
    </row>
    <row r="9" spans="1:16" s="57" customFormat="1" ht="11.25">
      <c r="A9" s="74">
        <v>8</v>
      </c>
      <c r="B9" s="74" t="s">
        <v>36</v>
      </c>
      <c r="C9" s="75" t="s">
        <v>36</v>
      </c>
      <c r="D9" s="76" t="s">
        <v>185</v>
      </c>
      <c r="E9" s="74">
        <v>2</v>
      </c>
      <c r="F9" s="74" t="str">
        <f t="shared" si="0"/>
        <v>budynek gospodarczy</v>
      </c>
      <c r="G9" s="74" t="s">
        <v>10</v>
      </c>
      <c r="H9" s="77">
        <f>6*2*8</f>
        <v>96</v>
      </c>
      <c r="I9" s="78">
        <f t="shared" si="1"/>
        <v>1.6320000000000001</v>
      </c>
      <c r="J9" s="79" t="s">
        <v>26</v>
      </c>
      <c r="K9" s="170" t="s">
        <v>72</v>
      </c>
      <c r="L9" s="165"/>
      <c r="M9" s="196"/>
      <c r="N9" s="167"/>
      <c r="O9" s="167"/>
      <c r="P9" s="167"/>
    </row>
    <row r="10" spans="1:16" s="57" customFormat="1" ht="11.25">
      <c r="A10" s="74">
        <v>9</v>
      </c>
      <c r="B10" s="74" t="s">
        <v>36</v>
      </c>
      <c r="C10" s="75" t="s">
        <v>36</v>
      </c>
      <c r="D10" s="76" t="s">
        <v>186</v>
      </c>
      <c r="E10" s="74">
        <v>2</v>
      </c>
      <c r="F10" s="74" t="str">
        <f t="shared" si="0"/>
        <v>budynek gospodarczy</v>
      </c>
      <c r="G10" s="74" t="s">
        <v>10</v>
      </c>
      <c r="H10" s="77">
        <f>6*5</f>
        <v>30</v>
      </c>
      <c r="I10" s="78">
        <f t="shared" si="1"/>
        <v>0.51</v>
      </c>
      <c r="J10" s="79" t="s">
        <v>23</v>
      </c>
      <c r="K10" s="170" t="s">
        <v>70</v>
      </c>
      <c r="L10" s="165"/>
      <c r="M10" s="196"/>
      <c r="N10" s="167"/>
      <c r="O10" s="167"/>
      <c r="P10" s="167"/>
    </row>
    <row r="11" spans="1:16" s="57" customFormat="1" ht="11.25">
      <c r="A11" s="74">
        <v>10</v>
      </c>
      <c r="B11" s="74" t="s">
        <v>36</v>
      </c>
      <c r="C11" s="75" t="s">
        <v>36</v>
      </c>
      <c r="D11" s="76" t="s">
        <v>66</v>
      </c>
      <c r="E11" s="74">
        <v>2</v>
      </c>
      <c r="F11" s="74" t="str">
        <f t="shared" si="0"/>
        <v>budynek gospodarczy</v>
      </c>
      <c r="G11" s="74" t="s">
        <v>10</v>
      </c>
      <c r="H11" s="77">
        <f>7.5*2*24</f>
        <v>360</v>
      </c>
      <c r="I11" s="78">
        <f t="shared" si="1"/>
        <v>6.12</v>
      </c>
      <c r="J11" s="79" t="s">
        <v>26</v>
      </c>
      <c r="K11" s="170" t="s">
        <v>72</v>
      </c>
      <c r="L11" s="165"/>
      <c r="M11" s="196"/>
      <c r="N11" s="167"/>
      <c r="O11" s="167"/>
      <c r="P11" s="167"/>
    </row>
    <row r="12" spans="1:16" s="57" customFormat="1" ht="11.25">
      <c r="A12" s="74">
        <v>11</v>
      </c>
      <c r="B12" s="74" t="s">
        <v>36</v>
      </c>
      <c r="C12" s="75" t="s">
        <v>36</v>
      </c>
      <c r="D12" s="76" t="s">
        <v>67</v>
      </c>
      <c r="E12" s="74">
        <v>2</v>
      </c>
      <c r="F12" s="74" t="str">
        <f t="shared" si="0"/>
        <v>budynek gospodarczy</v>
      </c>
      <c r="G12" s="74" t="s">
        <v>10</v>
      </c>
      <c r="H12" s="77">
        <f>4*2*20</f>
        <v>160</v>
      </c>
      <c r="I12" s="78">
        <f t="shared" si="1"/>
        <v>2.72</v>
      </c>
      <c r="J12" s="79" t="s">
        <v>26</v>
      </c>
      <c r="K12" s="170" t="s">
        <v>72</v>
      </c>
      <c r="L12" s="165"/>
      <c r="M12" s="196"/>
      <c r="N12" s="167"/>
      <c r="O12" s="167"/>
      <c r="P12" s="167"/>
    </row>
    <row r="13" spans="1:16" s="57" customFormat="1" ht="11.25">
      <c r="A13" s="74">
        <v>12</v>
      </c>
      <c r="B13" s="74" t="s">
        <v>36</v>
      </c>
      <c r="C13" s="75" t="s">
        <v>36</v>
      </c>
      <c r="D13" s="76" t="s">
        <v>67</v>
      </c>
      <c r="E13" s="74">
        <v>2</v>
      </c>
      <c r="F13" s="74" t="str">
        <f t="shared" si="0"/>
        <v>budynek gospodarczy</v>
      </c>
      <c r="G13" s="74" t="s">
        <v>10</v>
      </c>
      <c r="H13" s="77">
        <f>3*2*6</f>
        <v>36</v>
      </c>
      <c r="I13" s="78">
        <f t="shared" si="1"/>
        <v>0.6120000000000001</v>
      </c>
      <c r="J13" s="79" t="s">
        <v>23</v>
      </c>
      <c r="K13" s="170" t="s">
        <v>70</v>
      </c>
      <c r="L13" s="165"/>
      <c r="M13" s="196"/>
      <c r="N13" s="167"/>
      <c r="O13" s="167"/>
      <c r="P13" s="167"/>
    </row>
    <row r="14" spans="1:16" s="57" customFormat="1" ht="11.25">
      <c r="A14" s="74">
        <v>13</v>
      </c>
      <c r="B14" s="74" t="s">
        <v>36</v>
      </c>
      <c r="C14" s="75" t="s">
        <v>36</v>
      </c>
      <c r="D14" s="76" t="s">
        <v>67</v>
      </c>
      <c r="E14" s="74">
        <v>2</v>
      </c>
      <c r="F14" s="74" t="str">
        <f t="shared" si="0"/>
        <v>budynek gospodarczy</v>
      </c>
      <c r="G14" s="74" t="s">
        <v>10</v>
      </c>
      <c r="H14" s="77">
        <f>2*2*3</f>
        <v>12</v>
      </c>
      <c r="I14" s="78">
        <f t="shared" si="1"/>
        <v>0.20400000000000001</v>
      </c>
      <c r="J14" s="79" t="s">
        <v>23</v>
      </c>
      <c r="K14" s="170" t="s">
        <v>70</v>
      </c>
      <c r="L14" s="165"/>
      <c r="M14" s="196"/>
      <c r="N14" s="167"/>
      <c r="O14" s="167"/>
      <c r="P14" s="167"/>
    </row>
    <row r="15" spans="1:16" s="57" customFormat="1" ht="11.25">
      <c r="A15" s="74">
        <v>14</v>
      </c>
      <c r="B15" s="74" t="s">
        <v>36</v>
      </c>
      <c r="C15" s="75" t="s">
        <v>36</v>
      </c>
      <c r="D15" s="76" t="s">
        <v>57</v>
      </c>
      <c r="E15" s="74">
        <v>2</v>
      </c>
      <c r="F15" s="74" t="str">
        <f t="shared" si="0"/>
        <v>budynek gospodarczy</v>
      </c>
      <c r="G15" s="74" t="s">
        <v>10</v>
      </c>
      <c r="H15" s="77">
        <f>6*2*30</f>
        <v>360</v>
      </c>
      <c r="I15" s="78">
        <f t="shared" si="1"/>
        <v>6.12</v>
      </c>
      <c r="J15" s="79" t="s">
        <v>26</v>
      </c>
      <c r="K15" s="170" t="s">
        <v>72</v>
      </c>
      <c r="L15" s="165"/>
      <c r="M15" s="196"/>
      <c r="N15" s="167"/>
      <c r="O15" s="167"/>
      <c r="P15" s="167"/>
    </row>
    <row r="16" spans="1:16" s="57" customFormat="1" ht="11.25">
      <c r="A16" s="74">
        <v>15</v>
      </c>
      <c r="B16" s="74" t="s">
        <v>36</v>
      </c>
      <c r="C16" s="75" t="s">
        <v>36</v>
      </c>
      <c r="D16" s="76" t="s">
        <v>68</v>
      </c>
      <c r="E16" s="74">
        <v>2</v>
      </c>
      <c r="F16" s="74" t="str">
        <f t="shared" si="0"/>
        <v>budynek gospodarczy</v>
      </c>
      <c r="G16" s="74" t="s">
        <v>10</v>
      </c>
      <c r="H16" s="77">
        <f>6*2*23</f>
        <v>276</v>
      </c>
      <c r="I16" s="78">
        <f t="shared" si="1"/>
        <v>4.692</v>
      </c>
      <c r="J16" s="79" t="s">
        <v>26</v>
      </c>
      <c r="K16" s="170" t="s">
        <v>72</v>
      </c>
      <c r="L16" s="165"/>
      <c r="M16" s="202"/>
      <c r="N16" s="201"/>
      <c r="O16" s="167"/>
      <c r="P16" s="167"/>
    </row>
    <row r="17" spans="1:16" s="57" customFormat="1" ht="11.25">
      <c r="A17" s="74">
        <v>16</v>
      </c>
      <c r="B17" s="74" t="s">
        <v>36</v>
      </c>
      <c r="C17" s="75" t="s">
        <v>36</v>
      </c>
      <c r="D17" s="76" t="s">
        <v>69</v>
      </c>
      <c r="E17" s="74">
        <v>2</v>
      </c>
      <c r="F17" s="74" t="str">
        <f t="shared" si="0"/>
        <v>budynek gospodarczy</v>
      </c>
      <c r="G17" s="74" t="s">
        <v>10</v>
      </c>
      <c r="H17" s="77">
        <f>5*2*22-(5*5)</f>
        <v>195</v>
      </c>
      <c r="I17" s="78">
        <f t="shared" si="1"/>
        <v>3.3150000000000004</v>
      </c>
      <c r="J17" s="79" t="s">
        <v>26</v>
      </c>
      <c r="K17" s="170" t="s">
        <v>72</v>
      </c>
      <c r="L17" s="165"/>
      <c r="M17" s="202"/>
      <c r="N17" s="167"/>
      <c r="O17" s="167"/>
      <c r="P17" s="167"/>
    </row>
    <row r="18" spans="1:16" s="57" customFormat="1" ht="11.25">
      <c r="A18" s="74">
        <v>17</v>
      </c>
      <c r="B18" s="74" t="s">
        <v>36</v>
      </c>
      <c r="C18" s="75" t="s">
        <v>36</v>
      </c>
      <c r="D18" s="76" t="s">
        <v>69</v>
      </c>
      <c r="E18" s="74">
        <v>2</v>
      </c>
      <c r="F18" s="74" t="str">
        <f t="shared" si="0"/>
        <v>budynek gospodarczy</v>
      </c>
      <c r="G18" s="74" t="s">
        <v>10</v>
      </c>
      <c r="H18" s="77">
        <f>7*10</f>
        <v>70</v>
      </c>
      <c r="I18" s="78">
        <f t="shared" si="1"/>
        <v>1.1900000000000002</v>
      </c>
      <c r="J18" s="79" t="s">
        <v>26</v>
      </c>
      <c r="K18" s="170" t="s">
        <v>72</v>
      </c>
      <c r="L18" s="165"/>
      <c r="M18" s="202"/>
      <c r="N18" s="167"/>
      <c r="O18" s="167"/>
      <c r="P18" s="167"/>
    </row>
    <row r="19" spans="1:16" s="57" customFormat="1" ht="11.25">
      <c r="A19" s="74">
        <v>18</v>
      </c>
      <c r="B19" s="74" t="s">
        <v>36</v>
      </c>
      <c r="C19" s="75" t="s">
        <v>36</v>
      </c>
      <c r="D19" s="76" t="s">
        <v>58</v>
      </c>
      <c r="E19" s="74">
        <v>2</v>
      </c>
      <c r="F19" s="74" t="str">
        <f t="shared" si="0"/>
        <v>budynek gospodarczy</v>
      </c>
      <c r="G19" s="74" t="s">
        <v>10</v>
      </c>
      <c r="H19" s="77">
        <f>5*20+(5+5+20)*2.2</f>
        <v>166</v>
      </c>
      <c r="I19" s="78">
        <f t="shared" si="1"/>
        <v>2.822</v>
      </c>
      <c r="J19" s="79" t="s">
        <v>26</v>
      </c>
      <c r="K19" s="170" t="s">
        <v>72</v>
      </c>
      <c r="L19" s="165"/>
      <c r="M19" s="196"/>
      <c r="N19" s="167"/>
      <c r="O19" s="167"/>
      <c r="P19" s="167"/>
    </row>
    <row r="20" spans="1:16" s="57" customFormat="1" ht="11.25">
      <c r="A20" s="74">
        <v>19</v>
      </c>
      <c r="B20" s="74" t="s">
        <v>36</v>
      </c>
      <c r="C20" s="75" t="s">
        <v>36</v>
      </c>
      <c r="D20" s="76" t="s">
        <v>58</v>
      </c>
      <c r="E20" s="74">
        <v>2</v>
      </c>
      <c r="F20" s="74" t="str">
        <f t="shared" si="0"/>
        <v>budynek gospodarczy</v>
      </c>
      <c r="G20" s="74" t="s">
        <v>10</v>
      </c>
      <c r="H20" s="77">
        <f>6*10</f>
        <v>60</v>
      </c>
      <c r="I20" s="78">
        <f t="shared" si="1"/>
        <v>1.02</v>
      </c>
      <c r="J20" s="79" t="s">
        <v>26</v>
      </c>
      <c r="K20" s="170" t="s">
        <v>72</v>
      </c>
      <c r="L20" s="165"/>
      <c r="M20" s="196"/>
      <c r="N20" s="167"/>
      <c r="O20" s="167"/>
      <c r="P20" s="167"/>
    </row>
    <row r="21" spans="1:16" s="57" customFormat="1" ht="11.25">
      <c r="A21" s="74">
        <v>20</v>
      </c>
      <c r="B21" s="74" t="s">
        <v>36</v>
      </c>
      <c r="C21" s="75" t="s">
        <v>36</v>
      </c>
      <c r="D21" s="76" t="s">
        <v>58</v>
      </c>
      <c r="E21" s="74">
        <v>2</v>
      </c>
      <c r="F21" s="74" t="str">
        <f t="shared" si="0"/>
        <v>budynek gospodarczy</v>
      </c>
      <c r="G21" s="74" t="s">
        <v>10</v>
      </c>
      <c r="H21" s="77">
        <f>6*4</f>
        <v>24</v>
      </c>
      <c r="I21" s="78">
        <f t="shared" si="1"/>
        <v>0.40800000000000003</v>
      </c>
      <c r="J21" s="79" t="s">
        <v>23</v>
      </c>
      <c r="K21" s="170" t="s">
        <v>70</v>
      </c>
      <c r="L21" s="165"/>
      <c r="M21" s="203"/>
      <c r="N21" s="167"/>
      <c r="O21" s="167"/>
      <c r="P21" s="167"/>
    </row>
    <row r="22" spans="1:16" s="57" customFormat="1" ht="11.25">
      <c r="A22" s="74">
        <v>21</v>
      </c>
      <c r="B22" s="74" t="s">
        <v>36</v>
      </c>
      <c r="C22" s="75" t="s">
        <v>36</v>
      </c>
      <c r="D22" s="76" t="s">
        <v>58</v>
      </c>
      <c r="E22" s="74">
        <v>2</v>
      </c>
      <c r="F22" s="74" t="str">
        <f t="shared" si="0"/>
        <v>budynek gospodarczy</v>
      </c>
      <c r="G22" s="74" t="s">
        <v>10</v>
      </c>
      <c r="H22" s="77">
        <f>4*8</f>
        <v>32</v>
      </c>
      <c r="I22" s="78">
        <f>0.017*H22</f>
        <v>0.544</v>
      </c>
      <c r="J22" s="79" t="s">
        <v>23</v>
      </c>
      <c r="K22" s="170" t="s">
        <v>70</v>
      </c>
      <c r="L22" s="165"/>
      <c r="M22" s="196"/>
      <c r="N22" s="167"/>
      <c r="O22" s="167"/>
      <c r="P22" s="167"/>
    </row>
    <row r="23" spans="1:16" s="57" customFormat="1" ht="11.25">
      <c r="A23" s="74">
        <v>22</v>
      </c>
      <c r="B23" s="74" t="s">
        <v>36</v>
      </c>
      <c r="C23" s="75" t="s">
        <v>36</v>
      </c>
      <c r="D23" s="76" t="s">
        <v>59</v>
      </c>
      <c r="E23" s="74">
        <v>2</v>
      </c>
      <c r="F23" s="74" t="str">
        <f t="shared" si="0"/>
        <v>budynek gospodarczy</v>
      </c>
      <c r="G23" s="74" t="s">
        <v>10</v>
      </c>
      <c r="H23" s="77">
        <f>6*2*10</f>
        <v>120</v>
      </c>
      <c r="I23" s="78">
        <f>0.017*H23</f>
        <v>2.04</v>
      </c>
      <c r="J23" s="79" t="s">
        <v>26</v>
      </c>
      <c r="K23" s="170" t="s">
        <v>72</v>
      </c>
      <c r="L23" s="165"/>
      <c r="M23" s="196"/>
      <c r="N23" s="167"/>
      <c r="O23" s="167"/>
      <c r="P23" s="167"/>
    </row>
    <row r="24" spans="1:16" s="57" customFormat="1" ht="11.25">
      <c r="A24" s="74">
        <v>23</v>
      </c>
      <c r="B24" s="74" t="s">
        <v>36</v>
      </c>
      <c r="C24" s="75" t="s">
        <v>36</v>
      </c>
      <c r="D24" s="76" t="s">
        <v>59</v>
      </c>
      <c r="E24" s="74">
        <v>2</v>
      </c>
      <c r="F24" s="74" t="str">
        <f t="shared" si="0"/>
        <v>budynek gospodarczy</v>
      </c>
      <c r="G24" s="74" t="s">
        <v>10</v>
      </c>
      <c r="H24" s="77">
        <f>7*2*16</f>
        <v>224</v>
      </c>
      <c r="I24" s="78">
        <f>0.017*H24</f>
        <v>3.8080000000000003</v>
      </c>
      <c r="J24" s="79" t="s">
        <v>26</v>
      </c>
      <c r="K24" s="170" t="s">
        <v>72</v>
      </c>
      <c r="L24" s="165"/>
      <c r="M24" s="196"/>
      <c r="N24" s="167"/>
      <c r="O24" s="167"/>
      <c r="P24" s="167"/>
    </row>
    <row r="25" spans="10:12" ht="11.25">
      <c r="J25" s="5"/>
      <c r="K25" s="5"/>
      <c r="L25" s="5"/>
    </row>
    <row r="26" spans="7:12" ht="11.25">
      <c r="G26" s="2" t="s">
        <v>11</v>
      </c>
      <c r="H26" s="12">
        <f>SUM(H2:H24)</f>
        <v>3796</v>
      </c>
      <c r="I26" s="6">
        <f>SUM(I2:I24)</f>
        <v>64.532</v>
      </c>
      <c r="J26" s="6"/>
      <c r="K26" s="6"/>
      <c r="L26" s="6"/>
    </row>
    <row r="27" spans="10:15" ht="11.25">
      <c r="J27" s="259" t="s">
        <v>14</v>
      </c>
      <c r="K27" s="260"/>
      <c r="L27" s="260"/>
      <c r="M27" s="260"/>
      <c r="N27" s="260"/>
      <c r="O27" s="260"/>
    </row>
    <row r="28" spans="6:15" ht="11.25">
      <c r="F28" s="7" t="s">
        <v>12</v>
      </c>
      <c r="G28" s="7" t="s">
        <v>13</v>
      </c>
      <c r="H28" s="7" t="s">
        <v>14</v>
      </c>
      <c r="I28" s="7" t="s">
        <v>15</v>
      </c>
      <c r="J28" s="215" t="s">
        <v>201</v>
      </c>
      <c r="K28" s="215" t="s">
        <v>217</v>
      </c>
      <c r="L28" s="157">
        <v>2015</v>
      </c>
      <c r="M28" s="157">
        <v>2017</v>
      </c>
      <c r="N28" s="157">
        <v>2022</v>
      </c>
      <c r="O28" s="157">
        <v>2032</v>
      </c>
    </row>
    <row r="29" spans="6:15" ht="11.25">
      <c r="F29" s="37" t="s">
        <v>221</v>
      </c>
      <c r="G29" s="9"/>
      <c r="H29" s="11">
        <f>SUMIF(F$2:F24,F29,H$2:H24)</f>
        <v>0</v>
      </c>
      <c r="I29" s="11">
        <f>SUMIF(F$2:F24,F29,I$2:I24)</f>
        <v>0</v>
      </c>
      <c r="J29" s="216"/>
      <c r="K29" s="216"/>
      <c r="L29" s="11">
        <f>_xlfn.SUMIFS(H$2:H$24,K$2:K$24,L$28,F$2:F$24,F29)</f>
        <v>0</v>
      </c>
      <c r="M29" s="11">
        <f>_xlfn.SUMIFS(H$2:H$24,K$2:K$24,M$28,F$2:F$24,F29)</f>
        <v>0</v>
      </c>
      <c r="N29" s="11">
        <f>_xlfn.SUMIFS(H$2:H$24,K$2:K$24,N$28,F$2:F$24,F29)</f>
        <v>0</v>
      </c>
      <c r="O29" s="11">
        <f>_xlfn.SUMIFS(H$2:H$24,K$2:K$24,O$28,F$2:F$24,F29)</f>
        <v>0</v>
      </c>
    </row>
    <row r="30" spans="6:15" ht="11.25">
      <c r="F30" s="37" t="s">
        <v>192</v>
      </c>
      <c r="G30" s="9">
        <v>23</v>
      </c>
      <c r="H30" s="11">
        <f>SUMIF(F$2:F24,F30,H$2:H24)</f>
        <v>3796</v>
      </c>
      <c r="I30" s="11">
        <f>SUMIF(F$2:F24,F30,I$2:I24)</f>
        <v>64.532</v>
      </c>
      <c r="J30" s="242"/>
      <c r="K30" s="216">
        <v>1326.15</v>
      </c>
      <c r="L30" s="11">
        <f>_xlfn.SUMIFS(H$2:H$24,K$2:K$24,L$28,F$2:F$24,F30)</f>
        <v>0</v>
      </c>
      <c r="M30" s="11">
        <f>_xlfn.SUMIFS(H$2:H$24,K$2:K$24,M$28,F$2:F$24,F30)</f>
        <v>281</v>
      </c>
      <c r="N30" s="11">
        <f>_xlfn.SUMIFS(H$2:H$24,K$2:K$24,N$28,F$2:F$24,F30)</f>
        <v>0</v>
      </c>
      <c r="O30" s="11">
        <f>_xlfn.SUMIFS(H$2:H$24,K$2:K$24,O$28,F$2:F$24,F30)</f>
        <v>3515</v>
      </c>
    </row>
    <row r="31" spans="6:15" ht="11.25">
      <c r="F31" s="9" t="s">
        <v>18</v>
      </c>
      <c r="G31" s="9"/>
      <c r="H31" s="11">
        <f>SUMIF(F$2:F24,F31,H$2:H24)</f>
        <v>0</v>
      </c>
      <c r="I31" s="11">
        <f>SUMIF(F$2:F24,F31,I$2:I24)</f>
        <v>0</v>
      </c>
      <c r="J31" s="216">
        <v>115.294</v>
      </c>
      <c r="K31" s="216"/>
      <c r="L31" s="11">
        <f>_xlfn.SUMIFS(H$2:H$24,K$2:K$24,L$28,F$2:F$24,F31)</f>
        <v>0</v>
      </c>
      <c r="M31" s="11">
        <f>_xlfn.SUMIFS(H$2:H$24,K$2:K$24,M$28,F$2:F$24,F31)</f>
        <v>0</v>
      </c>
      <c r="N31" s="11">
        <f>_xlfn.SUMIFS(H$2:H$24,K$2:K$24,N$28,F$2:F$24,F31)</f>
        <v>0</v>
      </c>
      <c r="O31" s="11">
        <f>_xlfn.SUMIFS(H$2:H$24,K$2:K$24,O$28,F$2:F$24,F31)</f>
        <v>0</v>
      </c>
    </row>
    <row r="32" spans="6:15" ht="11.25">
      <c r="F32" s="9" t="s">
        <v>10</v>
      </c>
      <c r="G32" s="9"/>
      <c r="H32" s="11">
        <f>SUMIF(G$2:G24,F32,H$2:H24)</f>
        <v>3796</v>
      </c>
      <c r="I32" s="11">
        <f>SUMIF(G$2:G24,F32,I$2:I24)</f>
        <v>64.532</v>
      </c>
      <c r="J32" s="216">
        <v>115.294</v>
      </c>
      <c r="K32" s="216">
        <v>1326.15</v>
      </c>
      <c r="L32" s="11">
        <f>_xlfn.SUMIFS(H2:H24,K2:K24,L28,G2:G24,F32)</f>
        <v>0</v>
      </c>
      <c r="M32" s="11">
        <f>_xlfn.SUMIFS(H2:H24,K2:K24,M28,G2:G24,F32)</f>
        <v>281</v>
      </c>
      <c r="N32" s="11">
        <f>_xlfn.SUMIFS(H2:H24,K2:K24,N28,G2:G24,F32)</f>
        <v>0</v>
      </c>
      <c r="O32" s="11">
        <f>_xlfn.SUMIFS(H2:H24,K2:K24,O28,G2:G24,F32)</f>
        <v>3515</v>
      </c>
    </row>
    <row r="33" spans="6:15" ht="11.25">
      <c r="F33" s="9" t="s">
        <v>19</v>
      </c>
      <c r="G33" s="9"/>
      <c r="H33" s="11">
        <f>SUMIF(G$2:G24,F33,H$2:H24)</f>
        <v>0</v>
      </c>
      <c r="I33" s="11">
        <f>SUMIF(G$2:G24,F33,I$2:I24)</f>
        <v>0</v>
      </c>
      <c r="J33" s="216"/>
      <c r="K33" s="216"/>
      <c r="L33" s="11"/>
      <c r="M33" s="11"/>
      <c r="N33" s="68"/>
      <c r="O33" s="11"/>
    </row>
    <row r="34" spans="6:15" ht="11.25">
      <c r="F34" s="9" t="s">
        <v>20</v>
      </c>
      <c r="G34" s="9"/>
      <c r="H34" s="11"/>
      <c r="I34" s="11"/>
      <c r="J34" s="216"/>
      <c r="K34" s="216"/>
      <c r="L34" s="11"/>
      <c r="M34" s="11"/>
      <c r="N34" s="68"/>
      <c r="O34" s="11"/>
    </row>
    <row r="35" spans="6:15" ht="11.25">
      <c r="F35" s="9" t="s">
        <v>21</v>
      </c>
      <c r="G35" s="9"/>
      <c r="H35" s="11"/>
      <c r="I35" s="11"/>
      <c r="J35" s="216"/>
      <c r="K35" s="216"/>
      <c r="L35" s="11"/>
      <c r="M35" s="11"/>
      <c r="N35" s="68"/>
      <c r="O35" s="11"/>
    </row>
  </sheetData>
  <sheetProtection/>
  <autoFilter ref="A1:P24"/>
  <mergeCells count="1">
    <mergeCell ref="J27:O27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Q10" sqref="Q10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75"/>
      <c r="N1" s="164"/>
      <c r="O1" s="164"/>
      <c r="P1" s="164"/>
    </row>
    <row r="2" spans="1:16" s="57" customFormat="1" ht="11.25">
      <c r="A2" s="74">
        <v>1</v>
      </c>
      <c r="B2" s="74" t="s">
        <v>37</v>
      </c>
      <c r="C2" s="75" t="s">
        <v>37</v>
      </c>
      <c r="D2" s="76" t="s">
        <v>178</v>
      </c>
      <c r="E2" s="74">
        <v>2</v>
      </c>
      <c r="F2" s="74" t="str">
        <f aca="true" t="shared" si="0" ref="F2:F15">IF(E2=2,"budynek gospodarczy","budynek mieszkalny")</f>
        <v>budynek gospodarczy</v>
      </c>
      <c r="G2" s="74" t="s">
        <v>10</v>
      </c>
      <c r="H2" s="77">
        <f>2*10</f>
        <v>20</v>
      </c>
      <c r="I2" s="78">
        <f>0.017*H2</f>
        <v>0.34</v>
      </c>
      <c r="J2" s="79" t="s">
        <v>23</v>
      </c>
      <c r="K2" s="170" t="s">
        <v>70</v>
      </c>
      <c r="L2" s="165"/>
      <c r="M2" s="196"/>
      <c r="N2" s="167"/>
      <c r="O2" s="167"/>
      <c r="P2" s="167"/>
    </row>
    <row r="3" spans="1:16" s="57" customFormat="1" ht="11.25">
      <c r="A3" s="74">
        <v>2</v>
      </c>
      <c r="B3" s="74" t="s">
        <v>37</v>
      </c>
      <c r="C3" s="75" t="s">
        <v>37</v>
      </c>
      <c r="D3" s="76" t="s">
        <v>178</v>
      </c>
      <c r="E3" s="74">
        <v>2</v>
      </c>
      <c r="F3" s="74" t="str">
        <f t="shared" si="0"/>
        <v>budynek gospodarczy</v>
      </c>
      <c r="G3" s="74" t="s">
        <v>10</v>
      </c>
      <c r="H3" s="77">
        <f>4.5*20+30</f>
        <v>120</v>
      </c>
      <c r="I3" s="78">
        <f aca="true" t="shared" si="1" ref="I3:I15">0.017*H3</f>
        <v>2.04</v>
      </c>
      <c r="J3" s="79" t="s">
        <v>26</v>
      </c>
      <c r="K3" s="170" t="s">
        <v>72</v>
      </c>
      <c r="L3" s="165"/>
      <c r="M3" s="196"/>
      <c r="N3" s="167"/>
      <c r="O3" s="167"/>
      <c r="P3" s="167"/>
    </row>
    <row r="4" spans="1:16" s="57" customFormat="1" ht="11.25">
      <c r="A4" s="74">
        <v>3</v>
      </c>
      <c r="B4" s="74" t="s">
        <v>37</v>
      </c>
      <c r="C4" s="75" t="s">
        <v>37</v>
      </c>
      <c r="D4" s="76" t="s">
        <v>33</v>
      </c>
      <c r="E4" s="74">
        <v>2</v>
      </c>
      <c r="F4" s="74" t="str">
        <f t="shared" si="0"/>
        <v>budynek gospodarczy</v>
      </c>
      <c r="G4" s="74" t="s">
        <v>10</v>
      </c>
      <c r="H4" s="77">
        <f>4.5*2*12</f>
        <v>108</v>
      </c>
      <c r="I4" s="78">
        <f t="shared" si="1"/>
        <v>1.836</v>
      </c>
      <c r="J4" s="79" t="s">
        <v>26</v>
      </c>
      <c r="K4" s="170" t="s">
        <v>72</v>
      </c>
      <c r="L4" s="165"/>
      <c r="M4" s="196"/>
      <c r="N4" s="167"/>
      <c r="O4" s="167"/>
      <c r="P4" s="167"/>
    </row>
    <row r="5" spans="1:16" s="57" customFormat="1" ht="11.25">
      <c r="A5" s="74">
        <v>4</v>
      </c>
      <c r="B5" s="74" t="s">
        <v>37</v>
      </c>
      <c r="C5" s="75" t="s">
        <v>37</v>
      </c>
      <c r="D5" s="76" t="s">
        <v>189</v>
      </c>
      <c r="E5" s="74">
        <v>2</v>
      </c>
      <c r="F5" s="74" t="str">
        <f t="shared" si="0"/>
        <v>budynek gospodarczy</v>
      </c>
      <c r="G5" s="74" t="s">
        <v>10</v>
      </c>
      <c r="H5" s="77">
        <f>4*4</f>
        <v>16</v>
      </c>
      <c r="I5" s="78">
        <f t="shared" si="1"/>
        <v>0.272</v>
      </c>
      <c r="J5" s="79" t="s">
        <v>23</v>
      </c>
      <c r="K5" s="170" t="s">
        <v>70</v>
      </c>
      <c r="L5" s="165"/>
      <c r="M5" s="196"/>
      <c r="N5" s="167"/>
      <c r="O5" s="167"/>
      <c r="P5" s="167"/>
    </row>
    <row r="6" spans="1:16" s="57" customFormat="1" ht="11.25">
      <c r="A6" s="74">
        <v>5</v>
      </c>
      <c r="B6" s="74" t="s">
        <v>37</v>
      </c>
      <c r="C6" s="75" t="s">
        <v>37</v>
      </c>
      <c r="D6" s="76" t="s">
        <v>179</v>
      </c>
      <c r="E6" s="74">
        <v>2</v>
      </c>
      <c r="F6" s="74" t="str">
        <f t="shared" si="0"/>
        <v>budynek gospodarczy</v>
      </c>
      <c r="G6" s="74" t="s">
        <v>10</v>
      </c>
      <c r="H6" s="77">
        <f>3*2*10</f>
        <v>60</v>
      </c>
      <c r="I6" s="78">
        <f t="shared" si="1"/>
        <v>1.02</v>
      </c>
      <c r="J6" s="79" t="s">
        <v>26</v>
      </c>
      <c r="K6" s="170" t="s">
        <v>72</v>
      </c>
      <c r="L6" s="165"/>
      <c r="M6" s="196"/>
      <c r="N6" s="191"/>
      <c r="O6" s="167"/>
      <c r="P6" s="167"/>
    </row>
    <row r="7" spans="1:16" s="57" customFormat="1" ht="11.25">
      <c r="A7" s="74">
        <v>6</v>
      </c>
      <c r="B7" s="74" t="s">
        <v>37</v>
      </c>
      <c r="C7" s="75" t="s">
        <v>37</v>
      </c>
      <c r="D7" s="76" t="s">
        <v>179</v>
      </c>
      <c r="E7" s="74">
        <v>2</v>
      </c>
      <c r="F7" s="74" t="str">
        <f t="shared" si="0"/>
        <v>budynek gospodarczy</v>
      </c>
      <c r="G7" s="74" t="s">
        <v>10</v>
      </c>
      <c r="H7" s="77">
        <f>5*5</f>
        <v>25</v>
      </c>
      <c r="I7" s="78">
        <f t="shared" si="1"/>
        <v>0.42500000000000004</v>
      </c>
      <c r="J7" s="79" t="s">
        <v>23</v>
      </c>
      <c r="K7" s="170" t="s">
        <v>70</v>
      </c>
      <c r="L7" s="165"/>
      <c r="M7" s="196"/>
      <c r="N7" s="191"/>
      <c r="O7" s="167"/>
      <c r="P7" s="167"/>
    </row>
    <row r="8" spans="1:16" s="57" customFormat="1" ht="11.25">
      <c r="A8" s="74">
        <v>7</v>
      </c>
      <c r="B8" s="74" t="s">
        <v>37</v>
      </c>
      <c r="C8" s="75" t="s">
        <v>37</v>
      </c>
      <c r="D8" s="76" t="s">
        <v>179</v>
      </c>
      <c r="E8" s="74">
        <v>2</v>
      </c>
      <c r="F8" s="74" t="str">
        <f t="shared" si="0"/>
        <v>budynek gospodarczy</v>
      </c>
      <c r="G8" s="74" t="s">
        <v>10</v>
      </c>
      <c r="H8" s="77">
        <f>5*12</f>
        <v>60</v>
      </c>
      <c r="I8" s="78">
        <f t="shared" si="1"/>
        <v>1.02</v>
      </c>
      <c r="J8" s="79" t="s">
        <v>26</v>
      </c>
      <c r="K8" s="170" t="s">
        <v>72</v>
      </c>
      <c r="L8" s="165"/>
      <c r="M8" s="196"/>
      <c r="N8" s="167"/>
      <c r="O8" s="167"/>
      <c r="P8" s="167"/>
    </row>
    <row r="9" spans="1:16" s="57" customFormat="1" ht="11.25">
      <c r="A9" s="74">
        <v>8</v>
      </c>
      <c r="B9" s="74" t="s">
        <v>37</v>
      </c>
      <c r="C9" s="75" t="s">
        <v>37</v>
      </c>
      <c r="D9" s="76" t="s">
        <v>179</v>
      </c>
      <c r="E9" s="74">
        <v>2</v>
      </c>
      <c r="F9" s="74" t="str">
        <f t="shared" si="0"/>
        <v>budynek gospodarczy</v>
      </c>
      <c r="G9" s="74" t="s">
        <v>10</v>
      </c>
      <c r="H9" s="77">
        <f>4*6</f>
        <v>24</v>
      </c>
      <c r="I9" s="78">
        <f t="shared" si="1"/>
        <v>0.40800000000000003</v>
      </c>
      <c r="J9" s="79" t="s">
        <v>23</v>
      </c>
      <c r="K9" s="170" t="s">
        <v>70</v>
      </c>
      <c r="L9" s="165"/>
      <c r="M9" s="196"/>
      <c r="N9" s="167"/>
      <c r="O9" s="167"/>
      <c r="P9" s="167"/>
    </row>
    <row r="10" spans="1:16" s="57" customFormat="1" ht="11.25">
      <c r="A10" s="74">
        <v>9</v>
      </c>
      <c r="B10" s="74" t="s">
        <v>37</v>
      </c>
      <c r="C10" s="75" t="s">
        <v>37</v>
      </c>
      <c r="D10" s="76" t="s">
        <v>180</v>
      </c>
      <c r="E10" s="74">
        <v>2</v>
      </c>
      <c r="F10" s="74" t="str">
        <f t="shared" si="0"/>
        <v>budynek gospodarczy</v>
      </c>
      <c r="G10" s="74" t="s">
        <v>10</v>
      </c>
      <c r="H10" s="77">
        <f>5*2*10</f>
        <v>100</v>
      </c>
      <c r="I10" s="78">
        <f t="shared" si="1"/>
        <v>1.7000000000000002</v>
      </c>
      <c r="J10" s="79" t="s">
        <v>26</v>
      </c>
      <c r="K10" s="170" t="s">
        <v>72</v>
      </c>
      <c r="L10" s="165"/>
      <c r="M10" s="196"/>
      <c r="N10" s="167"/>
      <c r="O10" s="167"/>
      <c r="P10" s="167"/>
    </row>
    <row r="11" spans="1:16" s="57" customFormat="1" ht="11.25">
      <c r="A11" s="74">
        <v>10</v>
      </c>
      <c r="B11" s="74" t="s">
        <v>37</v>
      </c>
      <c r="C11" s="75" t="s">
        <v>37</v>
      </c>
      <c r="D11" s="76" t="s">
        <v>181</v>
      </c>
      <c r="E11" s="74">
        <v>2</v>
      </c>
      <c r="F11" s="74" t="str">
        <f t="shared" si="0"/>
        <v>budynek gospodarczy</v>
      </c>
      <c r="G11" s="74" t="s">
        <v>10</v>
      </c>
      <c r="H11" s="77">
        <f>5*20</f>
        <v>100</v>
      </c>
      <c r="I11" s="78">
        <f t="shared" si="1"/>
        <v>1.7000000000000002</v>
      </c>
      <c r="J11" s="79" t="s">
        <v>26</v>
      </c>
      <c r="K11" s="170" t="s">
        <v>72</v>
      </c>
      <c r="L11" s="165"/>
      <c r="M11" s="196"/>
      <c r="N11" s="167"/>
      <c r="O11" s="167"/>
      <c r="P11" s="167"/>
    </row>
    <row r="12" spans="1:16" s="57" customFormat="1" ht="11.25">
      <c r="A12" s="74">
        <v>11</v>
      </c>
      <c r="B12" s="74" t="s">
        <v>37</v>
      </c>
      <c r="C12" s="75" t="s">
        <v>37</v>
      </c>
      <c r="D12" s="76" t="s">
        <v>181</v>
      </c>
      <c r="E12" s="74">
        <v>2</v>
      </c>
      <c r="F12" s="74" t="str">
        <f t="shared" si="0"/>
        <v>budynek gospodarczy</v>
      </c>
      <c r="G12" s="74" t="s">
        <v>10</v>
      </c>
      <c r="H12" s="77">
        <f>3.5*4</f>
        <v>14</v>
      </c>
      <c r="I12" s="78">
        <f t="shared" si="1"/>
        <v>0.23800000000000002</v>
      </c>
      <c r="J12" s="79" t="s">
        <v>23</v>
      </c>
      <c r="K12" s="170" t="s">
        <v>70</v>
      </c>
      <c r="L12" s="165"/>
      <c r="M12" s="196"/>
      <c r="N12" s="167"/>
      <c r="O12" s="167"/>
      <c r="P12" s="167"/>
    </row>
    <row r="13" spans="1:16" s="57" customFormat="1" ht="11.25">
      <c r="A13" s="74">
        <v>12</v>
      </c>
      <c r="B13" s="74" t="s">
        <v>37</v>
      </c>
      <c r="C13" s="75" t="s">
        <v>37</v>
      </c>
      <c r="D13" s="76" t="s">
        <v>181</v>
      </c>
      <c r="E13" s="74">
        <v>2</v>
      </c>
      <c r="F13" s="74" t="str">
        <f t="shared" si="0"/>
        <v>budynek gospodarczy</v>
      </c>
      <c r="G13" s="74" t="s">
        <v>10</v>
      </c>
      <c r="H13" s="77">
        <f>4*6</f>
        <v>24</v>
      </c>
      <c r="I13" s="78">
        <f t="shared" si="1"/>
        <v>0.40800000000000003</v>
      </c>
      <c r="J13" s="79" t="s">
        <v>23</v>
      </c>
      <c r="K13" s="170" t="s">
        <v>70</v>
      </c>
      <c r="L13" s="165"/>
      <c r="M13" s="196"/>
      <c r="N13" s="167"/>
      <c r="O13" s="167"/>
      <c r="P13" s="167"/>
    </row>
    <row r="14" spans="1:16" s="57" customFormat="1" ht="11.25">
      <c r="A14" s="74">
        <v>13</v>
      </c>
      <c r="B14" s="74" t="s">
        <v>37</v>
      </c>
      <c r="C14" s="75" t="s">
        <v>37</v>
      </c>
      <c r="D14" s="76" t="s">
        <v>182</v>
      </c>
      <c r="E14" s="74">
        <v>2</v>
      </c>
      <c r="F14" s="74" t="str">
        <f t="shared" si="0"/>
        <v>budynek gospodarczy</v>
      </c>
      <c r="G14" s="74" t="s">
        <v>10</v>
      </c>
      <c r="H14" s="77">
        <f>6.5*2*25</f>
        <v>325</v>
      </c>
      <c r="I14" s="78">
        <f t="shared" si="1"/>
        <v>5.525</v>
      </c>
      <c r="J14" s="79" t="s">
        <v>26</v>
      </c>
      <c r="K14" s="170" t="s">
        <v>72</v>
      </c>
      <c r="L14" s="165"/>
      <c r="M14" s="196"/>
      <c r="N14" s="167"/>
      <c r="O14" s="167"/>
      <c r="P14" s="167"/>
    </row>
    <row r="15" spans="1:16" s="57" customFormat="1" ht="11.25">
      <c r="A15" s="74">
        <v>14</v>
      </c>
      <c r="B15" s="74" t="s">
        <v>37</v>
      </c>
      <c r="C15" s="75" t="s">
        <v>37</v>
      </c>
      <c r="D15" s="76" t="s">
        <v>182</v>
      </c>
      <c r="E15" s="74">
        <v>2</v>
      </c>
      <c r="F15" s="74" t="str">
        <f t="shared" si="0"/>
        <v>budynek gospodarczy</v>
      </c>
      <c r="G15" s="74" t="s">
        <v>10</v>
      </c>
      <c r="H15" s="77">
        <f>4*12</f>
        <v>48</v>
      </c>
      <c r="I15" s="78">
        <f t="shared" si="1"/>
        <v>0.8160000000000001</v>
      </c>
      <c r="J15" s="79" t="s">
        <v>23</v>
      </c>
      <c r="K15" s="170" t="s">
        <v>70</v>
      </c>
      <c r="L15" s="165"/>
      <c r="M15" s="196"/>
      <c r="N15" s="167"/>
      <c r="O15" s="167"/>
      <c r="P15" s="167"/>
    </row>
    <row r="16" spans="9:12" ht="11.25">
      <c r="I16" s="55"/>
      <c r="J16" s="5"/>
      <c r="K16" s="5"/>
      <c r="L16" s="5"/>
    </row>
    <row r="17" spans="7:12" ht="11.25">
      <c r="G17" s="2" t="s">
        <v>11</v>
      </c>
      <c r="H17" s="12">
        <f>SUM(H2:H15)</f>
        <v>1044</v>
      </c>
      <c r="I17" s="56">
        <f>SUM(I2:I15)</f>
        <v>17.748</v>
      </c>
      <c r="J17" s="6"/>
      <c r="K17" s="6"/>
      <c r="L17" s="6"/>
    </row>
    <row r="18" spans="10:15" ht="11.25">
      <c r="J18" s="259" t="s">
        <v>14</v>
      </c>
      <c r="K18" s="260"/>
      <c r="L18" s="260"/>
      <c r="M18" s="260"/>
      <c r="N18" s="260"/>
      <c r="O18" s="260"/>
    </row>
    <row r="19" spans="6:15" ht="11.25">
      <c r="F19" s="7" t="s">
        <v>12</v>
      </c>
      <c r="G19" s="7" t="s">
        <v>13</v>
      </c>
      <c r="H19" s="7" t="s">
        <v>14</v>
      </c>
      <c r="I19" s="7" t="s">
        <v>15</v>
      </c>
      <c r="J19" s="215" t="s">
        <v>199</v>
      </c>
      <c r="K19" s="215" t="s">
        <v>200</v>
      </c>
      <c r="L19" s="157">
        <v>2015</v>
      </c>
      <c r="M19" s="157">
        <v>2017</v>
      </c>
      <c r="N19" s="157">
        <v>2022</v>
      </c>
      <c r="O19" s="157">
        <v>2032</v>
      </c>
    </row>
    <row r="20" spans="6:15" ht="11.25">
      <c r="F20" s="37" t="s">
        <v>221</v>
      </c>
      <c r="G20" s="9"/>
      <c r="H20" s="11">
        <f>SUMIF(F$2:F15,F20,H$2:H15)</f>
        <v>0</v>
      </c>
      <c r="I20" s="11">
        <f>SUMIF(F$2:F15,F20,I$2:I15)</f>
        <v>0</v>
      </c>
      <c r="J20" s="216"/>
      <c r="K20" s="216"/>
      <c r="L20" s="11">
        <f>_xlfn.SUMIFS($H$2:$H$15,$K$2:$K$15,L$19,$F$2:$F$15,F20)</f>
        <v>0</v>
      </c>
      <c r="M20" s="11">
        <f>_xlfn.SUMIFS($H$2:$H$15,$K$2:$K$15,M$19,$F$2:$F$15,F20)</f>
        <v>0</v>
      </c>
      <c r="N20" s="11">
        <f>_xlfn.SUMIFS($H$2:$H$15,$K$2:$K$15,N$19,$F$2:$F$15,F20)</f>
        <v>0</v>
      </c>
      <c r="O20" s="11">
        <f>_xlfn.SUMIFS($H$2:$H$15,$K$2:$K$15,O$19,$F$2:$F$15,F20)</f>
        <v>0</v>
      </c>
    </row>
    <row r="21" spans="6:15" ht="11.25">
      <c r="F21" s="37" t="s">
        <v>192</v>
      </c>
      <c r="G21" s="9">
        <v>14</v>
      </c>
      <c r="H21" s="11">
        <f>SUMIF(F$2:F15,F21,H$2:H15)</f>
        <v>1044</v>
      </c>
      <c r="I21" s="11">
        <f>SUMIF(F$2:F15,F21,I$2:I15)</f>
        <v>17.748</v>
      </c>
      <c r="J21" s="242"/>
      <c r="K21" s="216"/>
      <c r="L21" s="11">
        <f>_xlfn.SUMIFS($H$2:$H$15,$K$2:$K$15,L$19,$F$2:$F$15,F21)</f>
        <v>0</v>
      </c>
      <c r="M21" s="11">
        <f>_xlfn.SUMIFS($H$2:$H$15,$K$2:$K$15,M$19,$F$2:$F$15,F21)</f>
        <v>171</v>
      </c>
      <c r="N21" s="11">
        <f>_xlfn.SUMIFS($H$2:$H$15,$K$2:$K$15,N$19,$F$2:$F$15,F21)</f>
        <v>0</v>
      </c>
      <c r="O21" s="11">
        <f>_xlfn.SUMIFS($H$2:$H$15,$K$2:$K$15,O$19,$F$2:$F$15,F21)</f>
        <v>873</v>
      </c>
    </row>
    <row r="22" spans="6:15" ht="11.25">
      <c r="F22" s="9" t="s">
        <v>18</v>
      </c>
      <c r="G22" s="9"/>
      <c r="H22" s="11">
        <f>SUMIF(F$2:F15,F22,H$2:H15)</f>
        <v>0</v>
      </c>
      <c r="I22" s="11">
        <f>SUMIF(F$2:F15,F22,I$2:I15)</f>
        <v>0</v>
      </c>
      <c r="J22" s="216">
        <v>198.823</v>
      </c>
      <c r="K22" s="216"/>
      <c r="L22" s="11">
        <f>_xlfn.SUMIFS($H$2:$H$15,$K$2:$K$15,L$19,$F$2:$F$15,F22)</f>
        <v>0</v>
      </c>
      <c r="M22" s="11">
        <f>_xlfn.SUMIFS($H$2:$H$15,$K$2:$K$15,M$19,$F$2:$F$15,F22)</f>
        <v>0</v>
      </c>
      <c r="N22" s="11">
        <f>_xlfn.SUMIFS($H$2:$H$15,$K$2:$K$15,N$19,$F$2:$F$15,F22)</f>
        <v>0</v>
      </c>
      <c r="O22" s="11">
        <f>_xlfn.SUMIFS($H$2:$H$15,$K$2:$K$15,O$19,$F$2:$F$15,F22)</f>
        <v>0</v>
      </c>
    </row>
    <row r="23" spans="6:15" ht="11.25">
      <c r="F23" s="9" t="s">
        <v>10</v>
      </c>
      <c r="G23" s="9"/>
      <c r="H23" s="11">
        <f>SUMIF(G$2:G15,F23,H$2:H15)</f>
        <v>1044</v>
      </c>
      <c r="I23" s="11">
        <f>SUMIF(G$2:G15,F$23,I$2:I15)</f>
        <v>17.748</v>
      </c>
      <c r="J23" s="216">
        <v>198.823</v>
      </c>
      <c r="K23" s="216"/>
      <c r="L23" s="11">
        <f>_xlfn.SUMIFS($H$2:$H$15,$K$2:$K$15,L19,$G$2:$G$15,$F$23)</f>
        <v>0</v>
      </c>
      <c r="M23" s="11">
        <f>_xlfn.SUMIFS($H$2:$H$15,$K$2:$K$15,M19,$G$2:$G$15,$F$23)</f>
        <v>171</v>
      </c>
      <c r="N23" s="11">
        <f>_xlfn.SUMIFS($H$2:$H$15,$K$2:$K$15,N19,$G$2:$G$15,$F$23)</f>
        <v>0</v>
      </c>
      <c r="O23" s="11">
        <f>_xlfn.SUMIFS($H$2:$H$15,$K$2:$K$15,O19,$G$2:$G$15,$F$23)</f>
        <v>873</v>
      </c>
    </row>
    <row r="24" spans="6:15" ht="11.25">
      <c r="F24" s="9" t="s">
        <v>19</v>
      </c>
      <c r="G24" s="9"/>
      <c r="H24" s="11">
        <f>SUMIF(G$2:G15,F24,H$2:H15)</f>
        <v>0</v>
      </c>
      <c r="I24" s="11">
        <f>SUMIF(G$2:G15,F$24,I$2:I15)</f>
        <v>0</v>
      </c>
      <c r="J24" s="216"/>
      <c r="K24" s="216"/>
      <c r="L24" s="11"/>
      <c r="M24" s="11"/>
      <c r="N24" s="68"/>
      <c r="O24" s="11"/>
    </row>
    <row r="25" spans="6:15" ht="11.25">
      <c r="F25" s="9" t="s">
        <v>20</v>
      </c>
      <c r="G25" s="9"/>
      <c r="H25" s="11"/>
      <c r="I25" s="11"/>
      <c r="J25" s="216"/>
      <c r="K25" s="216"/>
      <c r="L25" s="11"/>
      <c r="M25" s="11"/>
      <c r="N25" s="68"/>
      <c r="O25" s="11"/>
    </row>
    <row r="26" spans="6:15" ht="11.25">
      <c r="F26" s="9" t="s">
        <v>21</v>
      </c>
      <c r="G26" s="9"/>
      <c r="H26" s="11"/>
      <c r="I26" s="11"/>
      <c r="J26" s="216"/>
      <c r="K26" s="216"/>
      <c r="L26" s="11"/>
      <c r="M26" s="11"/>
      <c r="N26" s="68"/>
      <c r="O26" s="11"/>
    </row>
  </sheetData>
  <sheetProtection/>
  <autoFilter ref="A1:P15"/>
  <mergeCells count="1">
    <mergeCell ref="J18:O18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O19" sqref="O19"/>
    </sheetView>
  </sheetViews>
  <sheetFormatPr defaultColWidth="9.140625" defaultRowHeight="12.75" outlineLevelCol="1"/>
  <cols>
    <col min="1" max="1" width="4.7109375" style="103" customWidth="1"/>
    <col min="2" max="2" width="13.00390625" style="103" customWidth="1"/>
    <col min="3" max="3" width="14.140625" style="104" customWidth="1" outlineLevel="1"/>
    <col min="4" max="4" width="13.57421875" style="105" customWidth="1" outlineLevel="1"/>
    <col min="5" max="5" width="4.8515625" style="103" customWidth="1"/>
    <col min="6" max="6" width="19.421875" style="103" customWidth="1" outlineLevel="1"/>
    <col min="7" max="7" width="11.7109375" style="103" customWidth="1" outlineLevel="1"/>
    <col min="8" max="8" width="10.00390625" style="103" customWidth="1"/>
    <col min="9" max="12" width="9.140625" style="103" customWidth="1" outlineLevel="1"/>
    <col min="13" max="13" width="9.8515625" style="114" customWidth="1"/>
    <col min="14" max="14" width="9.8515625" style="103" customWidth="1"/>
    <col min="15" max="15" width="10.28125" style="103" customWidth="1"/>
    <col min="16" max="16" width="10.140625" style="103" customWidth="1"/>
    <col min="17" max="16384" width="9.140625" style="103" customWidth="1"/>
  </cols>
  <sheetData>
    <row r="1" spans="1:16" s="112" customFormat="1" ht="45">
      <c r="A1" s="88" t="s">
        <v>0</v>
      </c>
      <c r="B1" s="88" t="s">
        <v>1</v>
      </c>
      <c r="C1" s="88" t="s">
        <v>2</v>
      </c>
      <c r="D1" s="89" t="s">
        <v>3</v>
      </c>
      <c r="E1" s="88"/>
      <c r="F1" s="88" t="s">
        <v>4</v>
      </c>
      <c r="G1" s="88" t="s">
        <v>5</v>
      </c>
      <c r="H1" s="88" t="s">
        <v>6</v>
      </c>
      <c r="I1" s="88" t="s">
        <v>7</v>
      </c>
      <c r="J1" s="88" t="s">
        <v>8</v>
      </c>
      <c r="K1" s="177" t="s">
        <v>9</v>
      </c>
      <c r="L1" s="234"/>
      <c r="M1" s="184"/>
      <c r="N1" s="180"/>
      <c r="O1" s="180"/>
      <c r="P1" s="180"/>
    </row>
    <row r="2" spans="1:16" s="97" customFormat="1" ht="11.25">
      <c r="A2" s="91">
        <v>1</v>
      </c>
      <c r="B2" s="91" t="s">
        <v>30</v>
      </c>
      <c r="C2" s="91" t="s">
        <v>30</v>
      </c>
      <c r="D2" s="92" t="s">
        <v>113</v>
      </c>
      <c r="E2" s="90">
        <v>2</v>
      </c>
      <c r="F2" s="90" t="str">
        <f aca="true" t="shared" si="0" ref="F2:F13">IF(E2=2,"budynek gospodarczy","budynek mieszkalny")</f>
        <v>budynek gospodarczy</v>
      </c>
      <c r="G2" s="90" t="s">
        <v>10</v>
      </c>
      <c r="H2" s="93">
        <f>7*2*40</f>
        <v>560</v>
      </c>
      <c r="I2" s="94">
        <f aca="true" t="shared" si="1" ref="I2:I13">0.017*H2</f>
        <v>9.520000000000001</v>
      </c>
      <c r="J2" s="95" t="s">
        <v>26</v>
      </c>
      <c r="K2" s="178" t="s">
        <v>72</v>
      </c>
      <c r="L2" s="185"/>
      <c r="M2" s="189"/>
      <c r="N2" s="182"/>
      <c r="O2" s="182"/>
      <c r="P2" s="182"/>
    </row>
    <row r="3" spans="1:16" s="97" customFormat="1" ht="11.25">
      <c r="A3" s="91">
        <v>2</v>
      </c>
      <c r="B3" s="159" t="s">
        <v>30</v>
      </c>
      <c r="C3" s="159" t="s">
        <v>30</v>
      </c>
      <c r="D3" s="160" t="s">
        <v>223</v>
      </c>
      <c r="E3" s="90">
        <v>3</v>
      </c>
      <c r="F3" s="158" t="s">
        <v>18</v>
      </c>
      <c r="G3" s="158" t="s">
        <v>10</v>
      </c>
      <c r="H3" s="93">
        <v>100</v>
      </c>
      <c r="I3" s="94">
        <f t="shared" si="1"/>
        <v>1.7000000000000002</v>
      </c>
      <c r="J3" s="161" t="s">
        <v>23</v>
      </c>
      <c r="K3" s="179" t="s">
        <v>203</v>
      </c>
      <c r="L3" s="235"/>
      <c r="M3" s="189"/>
      <c r="N3" s="182"/>
      <c r="O3" s="182"/>
      <c r="P3" s="182"/>
    </row>
    <row r="4" spans="1:16" s="97" customFormat="1" ht="11.25">
      <c r="A4" s="91">
        <v>3</v>
      </c>
      <c r="B4" s="91" t="s">
        <v>30</v>
      </c>
      <c r="C4" s="91" t="s">
        <v>30</v>
      </c>
      <c r="D4" s="92" t="s">
        <v>112</v>
      </c>
      <c r="E4" s="90">
        <v>2</v>
      </c>
      <c r="F4" s="90" t="str">
        <f t="shared" si="0"/>
        <v>budynek gospodarczy</v>
      </c>
      <c r="G4" s="90" t="s">
        <v>10</v>
      </c>
      <c r="H4" s="93">
        <f>4*2*10</f>
        <v>80</v>
      </c>
      <c r="I4" s="94">
        <f t="shared" si="1"/>
        <v>1.36</v>
      </c>
      <c r="J4" s="95" t="s">
        <v>26</v>
      </c>
      <c r="K4" s="178" t="s">
        <v>72</v>
      </c>
      <c r="L4" s="185"/>
      <c r="M4" s="189"/>
      <c r="N4" s="182"/>
      <c r="O4" s="182"/>
      <c r="P4" s="182"/>
    </row>
    <row r="5" spans="1:16" s="97" customFormat="1" ht="11.25">
      <c r="A5" s="91">
        <v>4</v>
      </c>
      <c r="B5" s="91" t="s">
        <v>30</v>
      </c>
      <c r="C5" s="91" t="s">
        <v>30</v>
      </c>
      <c r="D5" s="92" t="s">
        <v>112</v>
      </c>
      <c r="E5" s="90">
        <v>2</v>
      </c>
      <c r="F5" s="90" t="str">
        <f t="shared" si="0"/>
        <v>budynek gospodarczy</v>
      </c>
      <c r="G5" s="90" t="s">
        <v>10</v>
      </c>
      <c r="H5" s="93">
        <f>6*2*5</f>
        <v>60</v>
      </c>
      <c r="I5" s="94">
        <f t="shared" si="1"/>
        <v>1.02</v>
      </c>
      <c r="J5" s="95" t="s">
        <v>26</v>
      </c>
      <c r="K5" s="178" t="s">
        <v>72</v>
      </c>
      <c r="L5" s="185"/>
      <c r="M5" s="189"/>
      <c r="N5" s="182"/>
      <c r="O5" s="182"/>
      <c r="P5" s="182"/>
    </row>
    <row r="6" spans="1:16" s="97" customFormat="1" ht="11.25">
      <c r="A6" s="91">
        <f aca="true" t="shared" si="2" ref="A6:A50">A5+1</f>
        <v>5</v>
      </c>
      <c r="B6" s="91" t="s">
        <v>30</v>
      </c>
      <c r="C6" s="91" t="s">
        <v>30</v>
      </c>
      <c r="D6" s="92" t="s">
        <v>112</v>
      </c>
      <c r="E6" s="90">
        <v>2</v>
      </c>
      <c r="F6" s="90" t="str">
        <f t="shared" si="0"/>
        <v>budynek gospodarczy</v>
      </c>
      <c r="G6" s="90" t="s">
        <v>10</v>
      </c>
      <c r="H6" s="93">
        <f>3*5</f>
        <v>15</v>
      </c>
      <c r="I6" s="94">
        <f t="shared" si="1"/>
        <v>0.255</v>
      </c>
      <c r="J6" s="95" t="s">
        <v>23</v>
      </c>
      <c r="K6" s="178" t="s">
        <v>70</v>
      </c>
      <c r="L6" s="185"/>
      <c r="M6" s="189"/>
      <c r="N6" s="182"/>
      <c r="O6" s="182"/>
      <c r="P6" s="182"/>
    </row>
    <row r="7" spans="1:16" s="97" customFormat="1" ht="11.25">
      <c r="A7" s="91">
        <f t="shared" si="2"/>
        <v>6</v>
      </c>
      <c r="B7" s="91" t="s">
        <v>30</v>
      </c>
      <c r="C7" s="91" t="s">
        <v>30</v>
      </c>
      <c r="D7" s="92" t="s">
        <v>112</v>
      </c>
      <c r="E7" s="90">
        <v>2</v>
      </c>
      <c r="F7" s="90" t="str">
        <f t="shared" si="0"/>
        <v>budynek gospodarczy</v>
      </c>
      <c r="G7" s="90" t="s">
        <v>10</v>
      </c>
      <c r="H7" s="93">
        <f>4*3</f>
        <v>12</v>
      </c>
      <c r="I7" s="94">
        <f t="shared" si="1"/>
        <v>0.20400000000000001</v>
      </c>
      <c r="J7" s="95" t="s">
        <v>23</v>
      </c>
      <c r="K7" s="178" t="s">
        <v>70</v>
      </c>
      <c r="L7" s="185"/>
      <c r="M7" s="189"/>
      <c r="N7" s="182"/>
      <c r="O7" s="182"/>
      <c r="P7" s="182"/>
    </row>
    <row r="8" spans="1:16" s="97" customFormat="1" ht="11.25">
      <c r="A8" s="91">
        <f t="shared" si="2"/>
        <v>7</v>
      </c>
      <c r="B8" s="91" t="s">
        <v>30</v>
      </c>
      <c r="C8" s="91" t="s">
        <v>30</v>
      </c>
      <c r="D8" s="92" t="s">
        <v>111</v>
      </c>
      <c r="E8" s="90">
        <v>2</v>
      </c>
      <c r="F8" s="90" t="str">
        <f t="shared" si="0"/>
        <v>budynek gospodarczy</v>
      </c>
      <c r="G8" s="90" t="s">
        <v>10</v>
      </c>
      <c r="H8" s="93">
        <f>4*2*10</f>
        <v>80</v>
      </c>
      <c r="I8" s="94">
        <f t="shared" si="1"/>
        <v>1.36</v>
      </c>
      <c r="J8" s="95" t="s">
        <v>26</v>
      </c>
      <c r="K8" s="178" t="s">
        <v>72</v>
      </c>
      <c r="L8" s="185"/>
      <c r="M8" s="189"/>
      <c r="N8" s="182"/>
      <c r="O8" s="182"/>
      <c r="P8" s="182"/>
    </row>
    <row r="9" spans="1:16" s="97" customFormat="1" ht="11.25">
      <c r="A9" s="91">
        <f t="shared" si="2"/>
        <v>8</v>
      </c>
      <c r="B9" s="91" t="s">
        <v>30</v>
      </c>
      <c r="C9" s="91" t="s">
        <v>30</v>
      </c>
      <c r="D9" s="92" t="s">
        <v>111</v>
      </c>
      <c r="E9" s="90">
        <v>2</v>
      </c>
      <c r="F9" s="90" t="str">
        <f t="shared" si="0"/>
        <v>budynek gospodarczy</v>
      </c>
      <c r="G9" s="90" t="s">
        <v>10</v>
      </c>
      <c r="H9" s="93">
        <f>(3+2)*8</f>
        <v>40</v>
      </c>
      <c r="I9" s="94">
        <f t="shared" si="1"/>
        <v>0.68</v>
      </c>
      <c r="J9" s="95" t="s">
        <v>23</v>
      </c>
      <c r="K9" s="178" t="s">
        <v>70</v>
      </c>
      <c r="L9" s="185"/>
      <c r="M9" s="189"/>
      <c r="N9" s="182"/>
      <c r="O9" s="182"/>
      <c r="P9" s="182"/>
    </row>
    <row r="10" spans="1:16" s="97" customFormat="1" ht="11.25">
      <c r="A10" s="91">
        <f t="shared" si="2"/>
        <v>9</v>
      </c>
      <c r="B10" s="91" t="s">
        <v>30</v>
      </c>
      <c r="C10" s="91" t="s">
        <v>30</v>
      </c>
      <c r="D10" s="92" t="s">
        <v>111</v>
      </c>
      <c r="E10" s="90">
        <v>2</v>
      </c>
      <c r="F10" s="90" t="str">
        <f t="shared" si="0"/>
        <v>budynek gospodarczy</v>
      </c>
      <c r="G10" s="90" t="s">
        <v>10</v>
      </c>
      <c r="H10" s="93">
        <f>4*4</f>
        <v>16</v>
      </c>
      <c r="I10" s="94">
        <f t="shared" si="1"/>
        <v>0.272</v>
      </c>
      <c r="J10" s="95" t="s">
        <v>23</v>
      </c>
      <c r="K10" s="178" t="s">
        <v>70</v>
      </c>
      <c r="L10" s="185"/>
      <c r="M10" s="189"/>
      <c r="N10" s="182"/>
      <c r="O10" s="182"/>
      <c r="P10" s="182"/>
    </row>
    <row r="11" spans="1:16" s="97" customFormat="1" ht="11.25">
      <c r="A11" s="91">
        <v>10</v>
      </c>
      <c r="B11" s="91" t="s">
        <v>30</v>
      </c>
      <c r="C11" s="91" t="s">
        <v>30</v>
      </c>
      <c r="D11" s="92" t="s">
        <v>110</v>
      </c>
      <c r="E11" s="90">
        <v>2</v>
      </c>
      <c r="F11" s="90" t="str">
        <f t="shared" si="0"/>
        <v>budynek gospodarczy</v>
      </c>
      <c r="G11" s="90" t="s">
        <v>10</v>
      </c>
      <c r="H11" s="93">
        <f>3*6</f>
        <v>18</v>
      </c>
      <c r="I11" s="94">
        <f t="shared" si="1"/>
        <v>0.30600000000000005</v>
      </c>
      <c r="J11" s="95" t="s">
        <v>23</v>
      </c>
      <c r="K11" s="178" t="s">
        <v>70</v>
      </c>
      <c r="L11" s="185"/>
      <c r="M11" s="190"/>
      <c r="N11" s="182"/>
      <c r="O11" s="182"/>
      <c r="P11" s="182"/>
    </row>
    <row r="12" spans="1:16" s="97" customFormat="1" ht="11.25">
      <c r="A12" s="91">
        <f t="shared" si="2"/>
        <v>11</v>
      </c>
      <c r="B12" s="91" t="s">
        <v>30</v>
      </c>
      <c r="C12" s="91" t="s">
        <v>30</v>
      </c>
      <c r="D12" s="92" t="s">
        <v>110</v>
      </c>
      <c r="E12" s="90">
        <v>2</v>
      </c>
      <c r="F12" s="90" t="str">
        <f t="shared" si="0"/>
        <v>budynek gospodarczy</v>
      </c>
      <c r="G12" s="90" t="s">
        <v>10</v>
      </c>
      <c r="H12" s="93">
        <f>4*8</f>
        <v>32</v>
      </c>
      <c r="I12" s="94">
        <f t="shared" si="1"/>
        <v>0.544</v>
      </c>
      <c r="J12" s="95" t="s">
        <v>23</v>
      </c>
      <c r="K12" s="178" t="s">
        <v>70</v>
      </c>
      <c r="L12" s="185"/>
      <c r="M12" s="189"/>
      <c r="N12" s="182"/>
      <c r="O12" s="182"/>
      <c r="P12" s="182"/>
    </row>
    <row r="13" spans="1:16" s="97" customFormat="1" ht="11.25">
      <c r="A13" s="91">
        <f t="shared" si="2"/>
        <v>12</v>
      </c>
      <c r="B13" s="91" t="s">
        <v>30</v>
      </c>
      <c r="C13" s="91" t="s">
        <v>30</v>
      </c>
      <c r="D13" s="92" t="s">
        <v>109</v>
      </c>
      <c r="E13" s="90">
        <v>2</v>
      </c>
      <c r="F13" s="90" t="str">
        <f t="shared" si="0"/>
        <v>budynek gospodarczy</v>
      </c>
      <c r="G13" s="90" t="s">
        <v>10</v>
      </c>
      <c r="H13" s="93">
        <f>5*8</f>
        <v>40</v>
      </c>
      <c r="I13" s="94">
        <f t="shared" si="1"/>
        <v>0.68</v>
      </c>
      <c r="J13" s="95" t="s">
        <v>23</v>
      </c>
      <c r="K13" s="178" t="s">
        <v>70</v>
      </c>
      <c r="L13" s="185"/>
      <c r="M13" s="190"/>
      <c r="N13" s="182"/>
      <c r="O13" s="182"/>
      <c r="P13" s="182"/>
    </row>
    <row r="14" spans="1:16" s="97" customFormat="1" ht="11.25">
      <c r="A14" s="91">
        <f t="shared" si="2"/>
        <v>13</v>
      </c>
      <c r="B14" s="91" t="s">
        <v>30</v>
      </c>
      <c r="C14" s="91" t="s">
        <v>30</v>
      </c>
      <c r="D14" s="92" t="s">
        <v>34</v>
      </c>
      <c r="E14" s="90">
        <v>2</v>
      </c>
      <c r="F14" s="90" t="str">
        <f>IF(E14=2,"budynek gospodarczy","budynek mieszkalny")</f>
        <v>budynek gospodarczy</v>
      </c>
      <c r="G14" s="90" t="s">
        <v>10</v>
      </c>
      <c r="H14" s="93">
        <f>3*2*8</f>
        <v>48</v>
      </c>
      <c r="I14" s="94">
        <f>0.017*H14</f>
        <v>0.8160000000000001</v>
      </c>
      <c r="J14" s="95" t="s">
        <v>23</v>
      </c>
      <c r="K14" s="178" t="s">
        <v>70</v>
      </c>
      <c r="L14" s="185"/>
      <c r="M14" s="190"/>
      <c r="N14" s="182"/>
      <c r="O14" s="182"/>
      <c r="P14" s="182"/>
    </row>
    <row r="15" spans="1:16" s="97" customFormat="1" ht="11.25">
      <c r="A15" s="91">
        <v>14</v>
      </c>
      <c r="B15" s="91" t="s">
        <v>30</v>
      </c>
      <c r="C15" s="91" t="s">
        <v>30</v>
      </c>
      <c r="D15" s="92" t="s">
        <v>108</v>
      </c>
      <c r="E15" s="90">
        <v>2</v>
      </c>
      <c r="F15" s="90" t="str">
        <f>IF(E15=2,"budynek gospodarczy","budynek mieszkalny")</f>
        <v>budynek gospodarczy</v>
      </c>
      <c r="G15" s="90" t="s">
        <v>10</v>
      </c>
      <c r="H15" s="93">
        <f>3.5*2*10</f>
        <v>70</v>
      </c>
      <c r="I15" s="94">
        <f aca="true" t="shared" si="3" ref="I15:I51">0.017*H15</f>
        <v>1.1900000000000002</v>
      </c>
      <c r="J15" s="95" t="s">
        <v>26</v>
      </c>
      <c r="K15" s="178" t="s">
        <v>72</v>
      </c>
      <c r="L15" s="185"/>
      <c r="M15" s="190"/>
      <c r="N15" s="182"/>
      <c r="O15" s="182"/>
      <c r="P15" s="182"/>
    </row>
    <row r="16" spans="1:16" s="97" customFormat="1" ht="11.25">
      <c r="A16" s="91">
        <f t="shared" si="2"/>
        <v>15</v>
      </c>
      <c r="B16" s="91" t="s">
        <v>30</v>
      </c>
      <c r="C16" s="91" t="s">
        <v>30</v>
      </c>
      <c r="D16" s="92" t="s">
        <v>108</v>
      </c>
      <c r="E16" s="90">
        <v>2</v>
      </c>
      <c r="F16" s="90" t="str">
        <f>IF(E16=2,"budynek gospodarczy","budynek mieszkalny")</f>
        <v>budynek gospodarczy</v>
      </c>
      <c r="G16" s="90" t="s">
        <v>10</v>
      </c>
      <c r="H16" s="93">
        <f>3*4</f>
        <v>12</v>
      </c>
      <c r="I16" s="94">
        <f t="shared" si="3"/>
        <v>0.20400000000000001</v>
      </c>
      <c r="J16" s="95" t="s">
        <v>23</v>
      </c>
      <c r="K16" s="178" t="s">
        <v>70</v>
      </c>
      <c r="L16" s="185"/>
      <c r="M16" s="190"/>
      <c r="N16" s="182"/>
      <c r="O16" s="182"/>
      <c r="P16" s="182"/>
    </row>
    <row r="17" spans="1:16" s="97" customFormat="1" ht="11.25">
      <c r="A17" s="91">
        <v>16</v>
      </c>
      <c r="B17" s="159" t="s">
        <v>30</v>
      </c>
      <c r="C17" s="159" t="s">
        <v>30</v>
      </c>
      <c r="D17" s="160" t="s">
        <v>214</v>
      </c>
      <c r="E17" s="90">
        <v>3</v>
      </c>
      <c r="F17" s="158" t="s">
        <v>18</v>
      </c>
      <c r="G17" s="158" t="s">
        <v>10</v>
      </c>
      <c r="H17" s="93">
        <v>110</v>
      </c>
      <c r="I17" s="94">
        <f t="shared" si="3"/>
        <v>1.87</v>
      </c>
      <c r="J17" s="161" t="s">
        <v>23</v>
      </c>
      <c r="K17" s="179" t="s">
        <v>203</v>
      </c>
      <c r="L17" s="235"/>
      <c r="M17" s="190"/>
      <c r="N17" s="182"/>
      <c r="O17" s="182"/>
      <c r="P17" s="182"/>
    </row>
    <row r="18" spans="1:16" s="97" customFormat="1" ht="11.25">
      <c r="A18" s="91">
        <v>17</v>
      </c>
      <c r="B18" s="91" t="s">
        <v>30</v>
      </c>
      <c r="C18" s="91" t="s">
        <v>30</v>
      </c>
      <c r="D18" s="92" t="s">
        <v>107</v>
      </c>
      <c r="E18" s="90">
        <v>2</v>
      </c>
      <c r="F18" s="90" t="str">
        <f aca="true" t="shared" si="4" ref="F18:F31">IF(E18=2,"budynek gospodarczy","budynek mieszkalny")</f>
        <v>budynek gospodarczy</v>
      </c>
      <c r="G18" s="90" t="s">
        <v>10</v>
      </c>
      <c r="H18" s="93">
        <f>6*8</f>
        <v>48</v>
      </c>
      <c r="I18" s="94">
        <f t="shared" si="3"/>
        <v>0.8160000000000001</v>
      </c>
      <c r="J18" s="95" t="s">
        <v>23</v>
      </c>
      <c r="K18" s="178" t="s">
        <v>70</v>
      </c>
      <c r="L18" s="185"/>
      <c r="M18" s="190"/>
      <c r="N18" s="182"/>
      <c r="O18" s="182"/>
      <c r="P18" s="182"/>
    </row>
    <row r="19" spans="1:16" s="97" customFormat="1" ht="11.25">
      <c r="A19" s="91">
        <v>18</v>
      </c>
      <c r="B19" s="91" t="s">
        <v>30</v>
      </c>
      <c r="C19" s="91" t="s">
        <v>30</v>
      </c>
      <c r="D19" s="160" t="s">
        <v>202</v>
      </c>
      <c r="E19" s="90">
        <v>2</v>
      </c>
      <c r="F19" s="90" t="str">
        <f t="shared" si="4"/>
        <v>budynek gospodarczy</v>
      </c>
      <c r="G19" s="90" t="s">
        <v>10</v>
      </c>
      <c r="H19" s="93">
        <f>(2.5+4)*8</f>
        <v>52</v>
      </c>
      <c r="I19" s="94">
        <f t="shared" si="3"/>
        <v>0.8840000000000001</v>
      </c>
      <c r="J19" s="95" t="s">
        <v>26</v>
      </c>
      <c r="K19" s="178" t="s">
        <v>72</v>
      </c>
      <c r="L19" s="185"/>
      <c r="M19" s="190"/>
      <c r="N19" s="182"/>
      <c r="O19" s="182"/>
      <c r="P19" s="182"/>
    </row>
    <row r="20" spans="1:16" s="97" customFormat="1" ht="11.25">
      <c r="A20" s="91">
        <f t="shared" si="2"/>
        <v>19</v>
      </c>
      <c r="B20" s="91" t="s">
        <v>30</v>
      </c>
      <c r="C20" s="91" t="s">
        <v>30</v>
      </c>
      <c r="D20" s="92" t="s">
        <v>104</v>
      </c>
      <c r="E20" s="90">
        <v>0</v>
      </c>
      <c r="F20" s="90" t="str">
        <f t="shared" si="4"/>
        <v>budynek mieszkalny</v>
      </c>
      <c r="G20" s="90" t="s">
        <v>10</v>
      </c>
      <c r="H20" s="93">
        <f>7*2*8</f>
        <v>112</v>
      </c>
      <c r="I20" s="94">
        <f t="shared" si="3"/>
        <v>1.9040000000000001</v>
      </c>
      <c r="J20" s="95" t="s">
        <v>24</v>
      </c>
      <c r="K20" s="178" t="s">
        <v>71</v>
      </c>
      <c r="L20" s="185"/>
      <c r="M20" s="190"/>
      <c r="N20" s="182"/>
      <c r="O20" s="182"/>
      <c r="P20" s="182"/>
    </row>
    <row r="21" spans="1:16" s="97" customFormat="1" ht="11.25">
      <c r="A21" s="91">
        <v>20</v>
      </c>
      <c r="B21" s="91" t="s">
        <v>30</v>
      </c>
      <c r="C21" s="91" t="s">
        <v>30</v>
      </c>
      <c r="D21" s="92" t="s">
        <v>105</v>
      </c>
      <c r="E21" s="90">
        <v>2</v>
      </c>
      <c r="F21" s="90" t="str">
        <f t="shared" si="4"/>
        <v>budynek gospodarczy</v>
      </c>
      <c r="G21" s="90" t="s">
        <v>10</v>
      </c>
      <c r="H21" s="93">
        <f>5.5*2*16</f>
        <v>176</v>
      </c>
      <c r="I21" s="94">
        <f t="shared" si="3"/>
        <v>2.992</v>
      </c>
      <c r="J21" s="95" t="s">
        <v>26</v>
      </c>
      <c r="K21" s="178" t="s">
        <v>72</v>
      </c>
      <c r="L21" s="185"/>
      <c r="M21" s="190"/>
      <c r="N21" s="182"/>
      <c r="O21" s="182"/>
      <c r="P21" s="182"/>
    </row>
    <row r="22" spans="1:16" s="97" customFormat="1" ht="11.25">
      <c r="A22" s="91">
        <f t="shared" si="2"/>
        <v>21</v>
      </c>
      <c r="B22" s="91" t="s">
        <v>30</v>
      </c>
      <c r="C22" s="91" t="s">
        <v>30</v>
      </c>
      <c r="D22" s="92" t="s">
        <v>105</v>
      </c>
      <c r="E22" s="90">
        <v>2</v>
      </c>
      <c r="F22" s="90" t="str">
        <f t="shared" si="4"/>
        <v>budynek gospodarczy</v>
      </c>
      <c r="G22" s="90" t="s">
        <v>10</v>
      </c>
      <c r="H22" s="93">
        <f>3*14</f>
        <v>42</v>
      </c>
      <c r="I22" s="94">
        <f t="shared" si="3"/>
        <v>0.7140000000000001</v>
      </c>
      <c r="J22" s="95" t="s">
        <v>23</v>
      </c>
      <c r="K22" s="178" t="s">
        <v>70</v>
      </c>
      <c r="L22" s="185"/>
      <c r="M22" s="190"/>
      <c r="N22" s="182"/>
      <c r="O22" s="182"/>
      <c r="P22" s="182"/>
    </row>
    <row r="23" spans="1:16" s="97" customFormat="1" ht="11.25">
      <c r="A23" s="91">
        <f t="shared" si="2"/>
        <v>22</v>
      </c>
      <c r="B23" s="91" t="s">
        <v>30</v>
      </c>
      <c r="C23" s="91" t="s">
        <v>30</v>
      </c>
      <c r="D23" s="92" t="s">
        <v>106</v>
      </c>
      <c r="E23" s="90">
        <v>0</v>
      </c>
      <c r="F23" s="90" t="str">
        <f t="shared" si="4"/>
        <v>budynek mieszkalny</v>
      </c>
      <c r="G23" s="90" t="s">
        <v>10</v>
      </c>
      <c r="H23" s="93">
        <f>3*2*8</f>
        <v>48</v>
      </c>
      <c r="I23" s="94">
        <f t="shared" si="3"/>
        <v>0.8160000000000001</v>
      </c>
      <c r="J23" s="95" t="s">
        <v>23</v>
      </c>
      <c r="K23" s="179" t="s">
        <v>70</v>
      </c>
      <c r="L23" s="235"/>
      <c r="M23" s="190"/>
      <c r="N23" s="182"/>
      <c r="O23" s="182"/>
      <c r="P23" s="182"/>
    </row>
    <row r="24" spans="1:16" s="97" customFormat="1" ht="11.25">
      <c r="A24" s="91">
        <f t="shared" si="2"/>
        <v>23</v>
      </c>
      <c r="B24" s="91" t="s">
        <v>30</v>
      </c>
      <c r="C24" s="91" t="s">
        <v>30</v>
      </c>
      <c r="D24" s="92" t="s">
        <v>103</v>
      </c>
      <c r="E24" s="90">
        <v>2</v>
      </c>
      <c r="F24" s="90" t="str">
        <f t="shared" si="4"/>
        <v>budynek gospodarczy</v>
      </c>
      <c r="G24" s="90" t="s">
        <v>10</v>
      </c>
      <c r="H24" s="93">
        <f>7*2*8</f>
        <v>112</v>
      </c>
      <c r="I24" s="94">
        <f t="shared" si="3"/>
        <v>1.9040000000000001</v>
      </c>
      <c r="J24" s="95" t="s">
        <v>26</v>
      </c>
      <c r="K24" s="178" t="s">
        <v>72</v>
      </c>
      <c r="L24" s="185"/>
      <c r="M24" s="190"/>
      <c r="N24" s="182"/>
      <c r="O24" s="182"/>
      <c r="P24" s="182"/>
    </row>
    <row r="25" spans="1:16" s="97" customFormat="1" ht="11.25">
      <c r="A25" s="91">
        <f t="shared" si="2"/>
        <v>24</v>
      </c>
      <c r="B25" s="91" t="s">
        <v>30</v>
      </c>
      <c r="C25" s="91" t="s">
        <v>30</v>
      </c>
      <c r="D25" s="92" t="s">
        <v>103</v>
      </c>
      <c r="E25" s="90">
        <v>0</v>
      </c>
      <c r="F25" s="90" t="str">
        <f t="shared" si="4"/>
        <v>budynek mieszkalny</v>
      </c>
      <c r="G25" s="90" t="s">
        <v>10</v>
      </c>
      <c r="H25" s="93">
        <f>6.5*2*8</f>
        <v>104</v>
      </c>
      <c r="I25" s="94">
        <f t="shared" si="3"/>
        <v>1.7680000000000002</v>
      </c>
      <c r="J25" s="95" t="s">
        <v>24</v>
      </c>
      <c r="K25" s="178" t="s">
        <v>71</v>
      </c>
      <c r="L25" s="185"/>
      <c r="M25" s="190"/>
      <c r="N25" s="182"/>
      <c r="O25" s="182"/>
      <c r="P25" s="182"/>
    </row>
    <row r="26" spans="1:16" s="97" customFormat="1" ht="11.25">
      <c r="A26" s="91">
        <v>25</v>
      </c>
      <c r="B26" s="159" t="s">
        <v>30</v>
      </c>
      <c r="C26" s="159" t="s">
        <v>30</v>
      </c>
      <c r="D26" s="160" t="s">
        <v>213</v>
      </c>
      <c r="E26" s="90">
        <v>2</v>
      </c>
      <c r="F26" s="90" t="str">
        <f t="shared" si="4"/>
        <v>budynek gospodarczy</v>
      </c>
      <c r="G26" s="158" t="s">
        <v>10</v>
      </c>
      <c r="H26" s="93">
        <v>108</v>
      </c>
      <c r="I26" s="94">
        <f t="shared" si="3"/>
        <v>1.836</v>
      </c>
      <c r="J26" s="161" t="s">
        <v>24</v>
      </c>
      <c r="K26" s="179" t="s">
        <v>203</v>
      </c>
      <c r="L26" s="235"/>
      <c r="M26" s="190"/>
      <c r="N26" s="182"/>
      <c r="O26" s="182"/>
      <c r="P26" s="182"/>
    </row>
    <row r="27" spans="1:16" s="97" customFormat="1" ht="11.25">
      <c r="A27" s="91">
        <v>26</v>
      </c>
      <c r="B27" s="91" t="s">
        <v>30</v>
      </c>
      <c r="C27" s="91" t="s">
        <v>30</v>
      </c>
      <c r="D27" s="92" t="s">
        <v>101</v>
      </c>
      <c r="E27" s="90">
        <v>2</v>
      </c>
      <c r="F27" s="90" t="str">
        <f t="shared" si="4"/>
        <v>budynek gospodarczy</v>
      </c>
      <c r="G27" s="90" t="s">
        <v>10</v>
      </c>
      <c r="H27" s="93">
        <f>6*2*22</f>
        <v>264</v>
      </c>
      <c r="I27" s="94">
        <f t="shared" si="3"/>
        <v>4.488</v>
      </c>
      <c r="J27" s="95" t="s">
        <v>26</v>
      </c>
      <c r="K27" s="178" t="s">
        <v>72</v>
      </c>
      <c r="L27" s="185"/>
      <c r="M27" s="190"/>
      <c r="N27" s="182"/>
      <c r="O27" s="182"/>
      <c r="P27" s="182"/>
    </row>
    <row r="28" spans="1:16" s="97" customFormat="1" ht="11.25">
      <c r="A28" s="91">
        <f t="shared" si="2"/>
        <v>27</v>
      </c>
      <c r="B28" s="91" t="s">
        <v>30</v>
      </c>
      <c r="C28" s="91" t="s">
        <v>30</v>
      </c>
      <c r="D28" s="92" t="s">
        <v>101</v>
      </c>
      <c r="E28" s="90">
        <v>2</v>
      </c>
      <c r="F28" s="90" t="str">
        <f t="shared" si="4"/>
        <v>budynek gospodarczy</v>
      </c>
      <c r="G28" s="90" t="s">
        <v>10</v>
      </c>
      <c r="H28" s="93">
        <f>3.5*2*7</f>
        <v>49</v>
      </c>
      <c r="I28" s="94">
        <f t="shared" si="3"/>
        <v>0.8330000000000001</v>
      </c>
      <c r="J28" s="95" t="s">
        <v>23</v>
      </c>
      <c r="K28" s="178" t="s">
        <v>70</v>
      </c>
      <c r="L28" s="185"/>
      <c r="M28" s="190"/>
      <c r="N28" s="182"/>
      <c r="O28" s="182"/>
      <c r="P28" s="182"/>
    </row>
    <row r="29" spans="1:16" s="97" customFormat="1" ht="11.25">
      <c r="A29" s="91">
        <f t="shared" si="2"/>
        <v>28</v>
      </c>
      <c r="B29" s="91" t="s">
        <v>30</v>
      </c>
      <c r="C29" s="91" t="s">
        <v>30</v>
      </c>
      <c r="D29" s="92" t="s">
        <v>102</v>
      </c>
      <c r="E29" s="90">
        <v>2</v>
      </c>
      <c r="F29" s="90" t="str">
        <f t="shared" si="4"/>
        <v>budynek gospodarczy</v>
      </c>
      <c r="G29" s="90" t="s">
        <v>10</v>
      </c>
      <c r="H29" s="93">
        <f>3*5</f>
        <v>15</v>
      </c>
      <c r="I29" s="94">
        <f t="shared" si="3"/>
        <v>0.255</v>
      </c>
      <c r="J29" s="95" t="s">
        <v>23</v>
      </c>
      <c r="K29" s="178" t="s">
        <v>70</v>
      </c>
      <c r="L29" s="185"/>
      <c r="M29" s="190"/>
      <c r="N29" s="182"/>
      <c r="O29" s="182"/>
      <c r="P29" s="182"/>
    </row>
    <row r="30" spans="1:16" s="97" customFormat="1" ht="11.25">
      <c r="A30" s="91">
        <f t="shared" si="2"/>
        <v>29</v>
      </c>
      <c r="B30" s="91" t="s">
        <v>30</v>
      </c>
      <c r="C30" s="91" t="s">
        <v>30</v>
      </c>
      <c r="D30" s="92" t="s">
        <v>100</v>
      </c>
      <c r="E30" s="90">
        <v>2</v>
      </c>
      <c r="F30" s="90" t="str">
        <f t="shared" si="4"/>
        <v>budynek gospodarczy</v>
      </c>
      <c r="G30" s="90" t="s">
        <v>10</v>
      </c>
      <c r="H30" s="93">
        <f>5*4</f>
        <v>20</v>
      </c>
      <c r="I30" s="94">
        <f t="shared" si="3"/>
        <v>0.34</v>
      </c>
      <c r="J30" s="95" t="s">
        <v>23</v>
      </c>
      <c r="K30" s="178" t="s">
        <v>70</v>
      </c>
      <c r="L30" s="185"/>
      <c r="M30" s="190"/>
      <c r="N30" s="182"/>
      <c r="O30" s="182"/>
      <c r="P30" s="182"/>
    </row>
    <row r="31" spans="1:16" s="97" customFormat="1" ht="11.25">
      <c r="A31" s="91">
        <f t="shared" si="2"/>
        <v>30</v>
      </c>
      <c r="B31" s="91" t="s">
        <v>30</v>
      </c>
      <c r="C31" s="91" t="s">
        <v>30</v>
      </c>
      <c r="D31" s="92" t="s">
        <v>100</v>
      </c>
      <c r="E31" s="90">
        <v>2</v>
      </c>
      <c r="F31" s="90" t="str">
        <f t="shared" si="4"/>
        <v>budynek gospodarczy</v>
      </c>
      <c r="G31" s="90" t="s">
        <v>10</v>
      </c>
      <c r="H31" s="93">
        <f>4*30</f>
        <v>120</v>
      </c>
      <c r="I31" s="94">
        <f t="shared" si="3"/>
        <v>2.04</v>
      </c>
      <c r="J31" s="95" t="s">
        <v>26</v>
      </c>
      <c r="K31" s="178" t="s">
        <v>72</v>
      </c>
      <c r="L31" s="185"/>
      <c r="M31" s="190"/>
      <c r="N31" s="182"/>
      <c r="O31" s="182"/>
      <c r="P31" s="182"/>
    </row>
    <row r="32" spans="1:16" s="97" customFormat="1" ht="11.25">
      <c r="A32" s="91">
        <v>31</v>
      </c>
      <c r="B32" s="91" t="s">
        <v>30</v>
      </c>
      <c r="C32" s="91" t="s">
        <v>30</v>
      </c>
      <c r="D32" s="92" t="s">
        <v>114</v>
      </c>
      <c r="E32" s="90">
        <v>2</v>
      </c>
      <c r="F32" s="90" t="str">
        <f aca="true" t="shared" si="5" ref="F32:F37">IF(E32=2,"budynek gospodarczy","budynek mieszkalny")</f>
        <v>budynek gospodarczy</v>
      </c>
      <c r="G32" s="90" t="s">
        <v>10</v>
      </c>
      <c r="H32" s="93">
        <f>3.5*2*16</f>
        <v>112</v>
      </c>
      <c r="I32" s="94">
        <f t="shared" si="3"/>
        <v>1.9040000000000001</v>
      </c>
      <c r="J32" s="95" t="s">
        <v>26</v>
      </c>
      <c r="K32" s="178" t="s">
        <v>72</v>
      </c>
      <c r="L32" s="185"/>
      <c r="M32" s="189"/>
      <c r="N32" s="186"/>
      <c r="O32" s="182"/>
      <c r="P32" s="182"/>
    </row>
    <row r="33" spans="1:16" s="97" customFormat="1" ht="11.25">
      <c r="A33" s="91">
        <f t="shared" si="2"/>
        <v>32</v>
      </c>
      <c r="B33" s="91" t="s">
        <v>30</v>
      </c>
      <c r="C33" s="91" t="s">
        <v>30</v>
      </c>
      <c r="D33" s="92" t="s">
        <v>114</v>
      </c>
      <c r="E33" s="90">
        <v>2</v>
      </c>
      <c r="F33" s="90" t="str">
        <f t="shared" si="5"/>
        <v>budynek gospodarczy</v>
      </c>
      <c r="G33" s="90" t="s">
        <v>10</v>
      </c>
      <c r="H33" s="93">
        <f>4*8</f>
        <v>32</v>
      </c>
      <c r="I33" s="94">
        <f t="shared" si="3"/>
        <v>0.544</v>
      </c>
      <c r="J33" s="95" t="s">
        <v>23</v>
      </c>
      <c r="K33" s="178" t="s">
        <v>70</v>
      </c>
      <c r="L33" s="185"/>
      <c r="M33" s="189"/>
      <c r="N33" s="182"/>
      <c r="O33" s="182"/>
      <c r="P33" s="182"/>
    </row>
    <row r="34" spans="1:16" s="97" customFormat="1" ht="11.25">
      <c r="A34" s="91">
        <v>33</v>
      </c>
      <c r="B34" s="91" t="s">
        <v>30</v>
      </c>
      <c r="C34" s="91" t="s">
        <v>30</v>
      </c>
      <c r="D34" s="92" t="s">
        <v>99</v>
      </c>
      <c r="E34" s="90">
        <v>2</v>
      </c>
      <c r="F34" s="90" t="str">
        <f t="shared" si="5"/>
        <v>budynek gospodarczy</v>
      </c>
      <c r="G34" s="90" t="s">
        <v>10</v>
      </c>
      <c r="H34" s="93">
        <f>5*2*7</f>
        <v>70</v>
      </c>
      <c r="I34" s="94">
        <f t="shared" si="3"/>
        <v>1.1900000000000002</v>
      </c>
      <c r="J34" s="95" t="s">
        <v>26</v>
      </c>
      <c r="K34" s="178" t="s">
        <v>72</v>
      </c>
      <c r="L34" s="185"/>
      <c r="M34" s="190"/>
      <c r="N34" s="182"/>
      <c r="O34" s="182"/>
      <c r="P34" s="182"/>
    </row>
    <row r="35" spans="1:16" s="97" customFormat="1" ht="11.25">
      <c r="A35" s="91">
        <f t="shared" si="2"/>
        <v>34</v>
      </c>
      <c r="B35" s="91" t="s">
        <v>30</v>
      </c>
      <c r="C35" s="91" t="s">
        <v>30</v>
      </c>
      <c r="D35" s="92" t="s">
        <v>99</v>
      </c>
      <c r="E35" s="90">
        <v>2</v>
      </c>
      <c r="F35" s="90" t="str">
        <f t="shared" si="5"/>
        <v>budynek gospodarczy</v>
      </c>
      <c r="G35" s="90" t="s">
        <v>10</v>
      </c>
      <c r="H35" s="93">
        <f>3*2*5</f>
        <v>30</v>
      </c>
      <c r="I35" s="94">
        <f t="shared" si="3"/>
        <v>0.51</v>
      </c>
      <c r="J35" s="95" t="s">
        <v>23</v>
      </c>
      <c r="K35" s="178" t="s">
        <v>70</v>
      </c>
      <c r="L35" s="185"/>
      <c r="M35" s="190"/>
      <c r="N35" s="182"/>
      <c r="O35" s="182"/>
      <c r="P35" s="182"/>
    </row>
    <row r="36" spans="1:16" s="97" customFormat="1" ht="11.25">
      <c r="A36" s="91">
        <f t="shared" si="2"/>
        <v>35</v>
      </c>
      <c r="B36" s="91" t="s">
        <v>30</v>
      </c>
      <c r="C36" s="91" t="s">
        <v>30</v>
      </c>
      <c r="D36" s="92" t="s">
        <v>99</v>
      </c>
      <c r="E36" s="90">
        <v>2</v>
      </c>
      <c r="F36" s="90" t="str">
        <f t="shared" si="5"/>
        <v>budynek gospodarczy</v>
      </c>
      <c r="G36" s="90" t="s">
        <v>10</v>
      </c>
      <c r="H36" s="93">
        <f>2.5*6</f>
        <v>15</v>
      </c>
      <c r="I36" s="94">
        <f t="shared" si="3"/>
        <v>0.255</v>
      </c>
      <c r="J36" s="95" t="s">
        <v>23</v>
      </c>
      <c r="K36" s="178" t="s">
        <v>70</v>
      </c>
      <c r="L36" s="185"/>
      <c r="M36" s="190"/>
      <c r="N36" s="182"/>
      <c r="O36" s="182"/>
      <c r="P36" s="182"/>
    </row>
    <row r="37" spans="1:16" s="97" customFormat="1" ht="11.25">
      <c r="A37" s="91">
        <f t="shared" si="2"/>
        <v>36</v>
      </c>
      <c r="B37" s="91" t="s">
        <v>30</v>
      </c>
      <c r="C37" s="91" t="s">
        <v>30</v>
      </c>
      <c r="D37" s="92" t="s">
        <v>195</v>
      </c>
      <c r="E37" s="90">
        <v>2</v>
      </c>
      <c r="F37" s="90" t="str">
        <f t="shared" si="5"/>
        <v>budynek gospodarczy</v>
      </c>
      <c r="G37" s="90" t="s">
        <v>10</v>
      </c>
      <c r="H37" s="93">
        <v>40</v>
      </c>
      <c r="I37" s="94">
        <f t="shared" si="3"/>
        <v>0.68</v>
      </c>
      <c r="J37" s="95" t="s">
        <v>23</v>
      </c>
      <c r="K37" s="178" t="s">
        <v>70</v>
      </c>
      <c r="L37" s="185"/>
      <c r="M37" s="190"/>
      <c r="N37" s="182"/>
      <c r="O37" s="182"/>
      <c r="P37" s="182"/>
    </row>
    <row r="38" spans="1:16" s="97" customFormat="1" ht="11.25">
      <c r="A38" s="91">
        <v>37</v>
      </c>
      <c r="B38" s="91" t="s">
        <v>30</v>
      </c>
      <c r="C38" s="91" t="s">
        <v>30</v>
      </c>
      <c r="D38" s="92" t="s">
        <v>95</v>
      </c>
      <c r="E38" s="90">
        <v>2</v>
      </c>
      <c r="F38" s="90" t="str">
        <f>IF(E38=2,"budynek gospodarczy","budynek mieszkalny")</f>
        <v>budynek gospodarczy</v>
      </c>
      <c r="G38" s="90" t="s">
        <v>10</v>
      </c>
      <c r="H38" s="93">
        <f>4*6</f>
        <v>24</v>
      </c>
      <c r="I38" s="94">
        <f t="shared" si="3"/>
        <v>0.40800000000000003</v>
      </c>
      <c r="J38" s="95" t="s">
        <v>23</v>
      </c>
      <c r="K38" s="178" t="s">
        <v>70</v>
      </c>
      <c r="L38" s="185"/>
      <c r="M38" s="190"/>
      <c r="N38" s="182"/>
      <c r="O38" s="182"/>
      <c r="P38" s="182"/>
    </row>
    <row r="39" spans="1:16" s="97" customFormat="1" ht="11.25">
      <c r="A39" s="91">
        <f t="shared" si="2"/>
        <v>38</v>
      </c>
      <c r="B39" s="91" t="s">
        <v>30</v>
      </c>
      <c r="C39" s="91" t="s">
        <v>30</v>
      </c>
      <c r="D39" s="92" t="s">
        <v>96</v>
      </c>
      <c r="E39" s="90">
        <v>2</v>
      </c>
      <c r="F39" s="90" t="str">
        <f>IF(E39=2,"budynek gospodarczy","budynek mieszkalny")</f>
        <v>budynek gospodarczy</v>
      </c>
      <c r="G39" s="90" t="s">
        <v>10</v>
      </c>
      <c r="H39" s="93">
        <f>3*4</f>
        <v>12</v>
      </c>
      <c r="I39" s="94">
        <f t="shared" si="3"/>
        <v>0.20400000000000001</v>
      </c>
      <c r="J39" s="95" t="s">
        <v>23</v>
      </c>
      <c r="K39" s="178" t="s">
        <v>70</v>
      </c>
      <c r="L39" s="185"/>
      <c r="M39" s="190"/>
      <c r="N39" s="182"/>
      <c r="O39" s="182"/>
      <c r="P39" s="182"/>
    </row>
    <row r="40" spans="1:16" s="97" customFormat="1" ht="11.25">
      <c r="A40" s="91">
        <f t="shared" si="2"/>
        <v>39</v>
      </c>
      <c r="B40" s="91" t="s">
        <v>30</v>
      </c>
      <c r="C40" s="91" t="s">
        <v>30</v>
      </c>
      <c r="D40" s="92" t="s">
        <v>96</v>
      </c>
      <c r="E40" s="90">
        <v>2</v>
      </c>
      <c r="F40" s="90" t="str">
        <f>IF(E40=2,"budynek gospodarczy","budynek mieszkalny")</f>
        <v>budynek gospodarczy</v>
      </c>
      <c r="G40" s="90" t="s">
        <v>10</v>
      </c>
      <c r="H40" s="93">
        <f>2*2</f>
        <v>4</v>
      </c>
      <c r="I40" s="94">
        <f t="shared" si="3"/>
        <v>0.068</v>
      </c>
      <c r="J40" s="95" t="s">
        <v>23</v>
      </c>
      <c r="K40" s="178" t="s">
        <v>70</v>
      </c>
      <c r="L40" s="185"/>
      <c r="M40" s="190"/>
      <c r="N40" s="182"/>
      <c r="O40" s="182"/>
      <c r="P40" s="182"/>
    </row>
    <row r="41" spans="1:16" s="97" customFormat="1" ht="11.25">
      <c r="A41" s="91">
        <v>40</v>
      </c>
      <c r="B41" s="91" t="s">
        <v>30</v>
      </c>
      <c r="C41" s="91" t="s">
        <v>30</v>
      </c>
      <c r="D41" s="92" t="s">
        <v>96</v>
      </c>
      <c r="E41" s="90">
        <v>0</v>
      </c>
      <c r="F41" s="90" t="str">
        <f>IF(E41=2,"budynek gospodarczy","budynek mieszkalny")</f>
        <v>budynek mieszkalny</v>
      </c>
      <c r="G41" s="90" t="s">
        <v>10</v>
      </c>
      <c r="H41" s="93">
        <f>5*2*9</f>
        <v>90</v>
      </c>
      <c r="I41" s="94">
        <f t="shared" si="3"/>
        <v>1.53</v>
      </c>
      <c r="J41" s="95" t="s">
        <v>24</v>
      </c>
      <c r="K41" s="178" t="s">
        <v>71</v>
      </c>
      <c r="L41" s="185"/>
      <c r="M41" s="190"/>
      <c r="N41" s="182"/>
      <c r="O41" s="182"/>
      <c r="P41" s="182"/>
    </row>
    <row r="42" spans="1:16" s="97" customFormat="1" ht="11.25">
      <c r="A42" s="91">
        <f t="shared" si="2"/>
        <v>41</v>
      </c>
      <c r="B42" s="91" t="s">
        <v>30</v>
      </c>
      <c r="C42" s="91" t="s">
        <v>30</v>
      </c>
      <c r="D42" s="92" t="s">
        <v>115</v>
      </c>
      <c r="E42" s="90">
        <v>2</v>
      </c>
      <c r="F42" s="90" t="str">
        <f aca="true" t="shared" si="6" ref="F42:F51">IF(E42=2,"budynek gospodarczy","budynek mieszkalny")</f>
        <v>budynek gospodarczy</v>
      </c>
      <c r="G42" s="90" t="s">
        <v>10</v>
      </c>
      <c r="H42" s="93">
        <f>3*5</f>
        <v>15</v>
      </c>
      <c r="I42" s="94">
        <f t="shared" si="3"/>
        <v>0.255</v>
      </c>
      <c r="J42" s="95" t="s">
        <v>23</v>
      </c>
      <c r="K42" s="178" t="s">
        <v>70</v>
      </c>
      <c r="L42" s="185"/>
      <c r="M42" s="189"/>
      <c r="N42" s="182"/>
      <c r="O42" s="182"/>
      <c r="P42" s="182"/>
    </row>
    <row r="43" spans="1:16" s="97" customFormat="1" ht="11.25">
      <c r="A43" s="91">
        <v>42</v>
      </c>
      <c r="B43" s="91" t="s">
        <v>30</v>
      </c>
      <c r="C43" s="91" t="s">
        <v>30</v>
      </c>
      <c r="D43" s="92" t="s">
        <v>97</v>
      </c>
      <c r="E43" s="90">
        <v>2</v>
      </c>
      <c r="F43" s="90" t="str">
        <f t="shared" si="6"/>
        <v>budynek gospodarczy</v>
      </c>
      <c r="G43" s="90" t="s">
        <v>10</v>
      </c>
      <c r="H43" s="93">
        <f>5*12</f>
        <v>60</v>
      </c>
      <c r="I43" s="94">
        <f t="shared" si="3"/>
        <v>1.02</v>
      </c>
      <c r="J43" s="95" t="s">
        <v>26</v>
      </c>
      <c r="K43" s="178" t="s">
        <v>72</v>
      </c>
      <c r="L43" s="185"/>
      <c r="M43" s="190"/>
      <c r="N43" s="182"/>
      <c r="O43" s="182"/>
      <c r="P43" s="182"/>
    </row>
    <row r="44" spans="1:16" s="97" customFormat="1" ht="11.25">
      <c r="A44" s="91">
        <f t="shared" si="2"/>
        <v>43</v>
      </c>
      <c r="B44" s="91" t="s">
        <v>30</v>
      </c>
      <c r="C44" s="91" t="s">
        <v>30</v>
      </c>
      <c r="D44" s="92" t="s">
        <v>98</v>
      </c>
      <c r="E44" s="90">
        <v>2</v>
      </c>
      <c r="F44" s="90" t="str">
        <f t="shared" si="6"/>
        <v>budynek gospodarczy</v>
      </c>
      <c r="G44" s="90" t="s">
        <v>10</v>
      </c>
      <c r="H44" s="93">
        <f>3*2</f>
        <v>6</v>
      </c>
      <c r="I44" s="94">
        <f t="shared" si="3"/>
        <v>0.10200000000000001</v>
      </c>
      <c r="J44" s="95" t="s">
        <v>23</v>
      </c>
      <c r="K44" s="178" t="s">
        <v>70</v>
      </c>
      <c r="L44" s="185"/>
      <c r="M44" s="190"/>
      <c r="N44" s="182"/>
      <c r="O44" s="182"/>
      <c r="P44" s="182"/>
    </row>
    <row r="45" spans="1:16" s="97" customFormat="1" ht="11.25">
      <c r="A45" s="91">
        <f t="shared" si="2"/>
        <v>44</v>
      </c>
      <c r="B45" s="91" t="s">
        <v>30</v>
      </c>
      <c r="C45" s="91" t="s">
        <v>30</v>
      </c>
      <c r="D45" s="92" t="s">
        <v>94</v>
      </c>
      <c r="E45" s="90">
        <v>2</v>
      </c>
      <c r="F45" s="90" t="str">
        <f t="shared" si="6"/>
        <v>budynek gospodarczy</v>
      </c>
      <c r="G45" s="90" t="s">
        <v>10</v>
      </c>
      <c r="H45" s="93">
        <f>6*12*2</f>
        <v>144</v>
      </c>
      <c r="I45" s="94">
        <f t="shared" si="3"/>
        <v>2.4480000000000004</v>
      </c>
      <c r="J45" s="95" t="s">
        <v>26</v>
      </c>
      <c r="K45" s="178" t="s">
        <v>72</v>
      </c>
      <c r="L45" s="185"/>
      <c r="M45" s="190"/>
      <c r="N45" s="182"/>
      <c r="O45" s="182"/>
      <c r="P45" s="182"/>
    </row>
    <row r="46" spans="1:16" s="97" customFormat="1" ht="11.25">
      <c r="A46" s="91">
        <f t="shared" si="2"/>
        <v>45</v>
      </c>
      <c r="B46" s="91" t="s">
        <v>30</v>
      </c>
      <c r="C46" s="91" t="s">
        <v>30</v>
      </c>
      <c r="D46" s="92" t="s">
        <v>93</v>
      </c>
      <c r="E46" s="90">
        <v>0</v>
      </c>
      <c r="F46" s="90" t="str">
        <f t="shared" si="6"/>
        <v>budynek mieszkalny</v>
      </c>
      <c r="G46" s="90" t="s">
        <v>10</v>
      </c>
      <c r="H46" s="93">
        <f>6*2*14</f>
        <v>168</v>
      </c>
      <c r="I46" s="94">
        <f t="shared" si="3"/>
        <v>2.8560000000000003</v>
      </c>
      <c r="J46" s="95" t="s">
        <v>24</v>
      </c>
      <c r="K46" s="178" t="s">
        <v>71</v>
      </c>
      <c r="L46" s="185"/>
      <c r="M46" s="190"/>
      <c r="N46" s="182"/>
      <c r="O46" s="182"/>
      <c r="P46" s="182"/>
    </row>
    <row r="47" spans="1:16" s="97" customFormat="1" ht="11.25">
      <c r="A47" s="91">
        <v>46</v>
      </c>
      <c r="B47" s="91" t="s">
        <v>30</v>
      </c>
      <c r="C47" s="91" t="s">
        <v>30</v>
      </c>
      <c r="D47" s="92" t="s">
        <v>92</v>
      </c>
      <c r="E47" s="90">
        <v>2</v>
      </c>
      <c r="F47" s="90" t="str">
        <f t="shared" si="6"/>
        <v>budynek gospodarczy</v>
      </c>
      <c r="G47" s="90" t="s">
        <v>10</v>
      </c>
      <c r="H47" s="93">
        <f>7*2*36</f>
        <v>504</v>
      </c>
      <c r="I47" s="94">
        <f t="shared" si="3"/>
        <v>8.568000000000001</v>
      </c>
      <c r="J47" s="95" t="s">
        <v>26</v>
      </c>
      <c r="K47" s="178" t="s">
        <v>72</v>
      </c>
      <c r="L47" s="185"/>
      <c r="M47" s="190"/>
      <c r="N47" s="182"/>
      <c r="O47" s="182"/>
      <c r="P47" s="182"/>
    </row>
    <row r="48" spans="1:16" s="97" customFormat="1" ht="11.25">
      <c r="A48" s="91">
        <f t="shared" si="2"/>
        <v>47</v>
      </c>
      <c r="B48" s="91" t="s">
        <v>30</v>
      </c>
      <c r="C48" s="91" t="s">
        <v>30</v>
      </c>
      <c r="D48" s="92" t="s">
        <v>91</v>
      </c>
      <c r="E48" s="90">
        <v>2</v>
      </c>
      <c r="F48" s="90" t="str">
        <f t="shared" si="6"/>
        <v>budynek gospodarczy</v>
      </c>
      <c r="G48" s="90" t="s">
        <v>10</v>
      </c>
      <c r="H48" s="93">
        <f>4*2*16</f>
        <v>128</v>
      </c>
      <c r="I48" s="94">
        <f t="shared" si="3"/>
        <v>2.176</v>
      </c>
      <c r="J48" s="95" t="s">
        <v>26</v>
      </c>
      <c r="K48" s="178" t="s">
        <v>72</v>
      </c>
      <c r="L48" s="185"/>
      <c r="M48" s="190"/>
      <c r="N48" s="182"/>
      <c r="O48" s="182"/>
      <c r="P48" s="182"/>
    </row>
    <row r="49" spans="1:16" s="97" customFormat="1" ht="11.25">
      <c r="A49" s="91">
        <v>48</v>
      </c>
      <c r="B49" s="91" t="s">
        <v>30</v>
      </c>
      <c r="C49" s="91" t="s">
        <v>30</v>
      </c>
      <c r="D49" s="92" t="s">
        <v>90</v>
      </c>
      <c r="E49" s="90">
        <v>2</v>
      </c>
      <c r="F49" s="90" t="str">
        <f t="shared" si="6"/>
        <v>budynek gospodarczy</v>
      </c>
      <c r="G49" s="90" t="s">
        <v>10</v>
      </c>
      <c r="H49" s="93">
        <f>4*2*20</f>
        <v>160</v>
      </c>
      <c r="I49" s="94">
        <f t="shared" si="3"/>
        <v>2.72</v>
      </c>
      <c r="J49" s="95" t="s">
        <v>26</v>
      </c>
      <c r="K49" s="178" t="s">
        <v>72</v>
      </c>
      <c r="L49" s="185"/>
      <c r="M49" s="190"/>
      <c r="N49" s="182"/>
      <c r="O49" s="182"/>
      <c r="P49" s="182"/>
    </row>
    <row r="50" spans="1:16" s="97" customFormat="1" ht="11.25">
      <c r="A50" s="91">
        <f t="shared" si="2"/>
        <v>49</v>
      </c>
      <c r="B50" s="91" t="s">
        <v>30</v>
      </c>
      <c r="C50" s="91" t="s">
        <v>30</v>
      </c>
      <c r="D50" s="92" t="s">
        <v>62</v>
      </c>
      <c r="E50" s="90">
        <v>2</v>
      </c>
      <c r="F50" s="90" t="str">
        <f t="shared" si="6"/>
        <v>budynek gospodarczy</v>
      </c>
      <c r="G50" s="90" t="s">
        <v>10</v>
      </c>
      <c r="H50" s="93">
        <f>4*10</f>
        <v>40</v>
      </c>
      <c r="I50" s="94">
        <f t="shared" si="3"/>
        <v>0.68</v>
      </c>
      <c r="J50" s="95" t="s">
        <v>23</v>
      </c>
      <c r="K50" s="178" t="s">
        <v>70</v>
      </c>
      <c r="L50" s="185"/>
      <c r="M50" s="190"/>
      <c r="N50" s="182"/>
      <c r="O50" s="182"/>
      <c r="P50" s="182"/>
    </row>
    <row r="51" spans="1:16" s="97" customFormat="1" ht="11.25">
      <c r="A51" s="91">
        <v>50</v>
      </c>
      <c r="B51" s="91" t="s">
        <v>30</v>
      </c>
      <c r="C51" s="91" t="s">
        <v>30</v>
      </c>
      <c r="D51" s="92" t="s">
        <v>60</v>
      </c>
      <c r="E51" s="90">
        <v>2</v>
      </c>
      <c r="F51" s="90" t="str">
        <f t="shared" si="6"/>
        <v>budynek gospodarczy</v>
      </c>
      <c r="G51" s="90" t="s">
        <v>10</v>
      </c>
      <c r="H51" s="93">
        <f>2*2*4+16*2.5</f>
        <v>56</v>
      </c>
      <c r="I51" s="94">
        <f t="shared" si="3"/>
        <v>0.9520000000000001</v>
      </c>
      <c r="J51" s="95" t="s">
        <v>26</v>
      </c>
      <c r="K51" s="178" t="s">
        <v>72</v>
      </c>
      <c r="L51" s="185"/>
      <c r="M51" s="190"/>
      <c r="N51" s="182"/>
      <c r="O51" s="182"/>
      <c r="P51" s="182"/>
    </row>
    <row r="52" spans="7:13" ht="11.25">
      <c r="G52" s="103" t="s">
        <v>11</v>
      </c>
      <c r="H52" s="106">
        <f>SUM(H2:H51)</f>
        <v>4273</v>
      </c>
      <c r="I52" s="107">
        <f>SUM(I2:I51)</f>
        <v>72.64100000000002</v>
      </c>
      <c r="J52" s="108"/>
      <c r="K52" s="108"/>
      <c r="L52" s="108"/>
      <c r="M52" s="106"/>
    </row>
    <row r="54" spans="10:15" ht="11.25">
      <c r="J54" s="261" t="s">
        <v>14</v>
      </c>
      <c r="K54" s="262"/>
      <c r="L54" s="262"/>
      <c r="M54" s="262"/>
      <c r="N54" s="262"/>
      <c r="O54" s="262"/>
    </row>
    <row r="55" spans="6:15" ht="11.25">
      <c r="F55" s="113" t="s">
        <v>12</v>
      </c>
      <c r="G55" s="113" t="s">
        <v>13</v>
      </c>
      <c r="H55" s="113" t="s">
        <v>14</v>
      </c>
      <c r="I55" s="113" t="s">
        <v>15</v>
      </c>
      <c r="J55" s="215" t="s">
        <v>199</v>
      </c>
      <c r="K55" s="215" t="s">
        <v>200</v>
      </c>
      <c r="L55" s="204">
        <v>2015</v>
      </c>
      <c r="M55" s="204">
        <v>2017</v>
      </c>
      <c r="N55" s="204">
        <v>2022</v>
      </c>
      <c r="O55" s="204">
        <v>2032</v>
      </c>
    </row>
    <row r="56" spans="6:15" ht="11.25">
      <c r="F56" s="248" t="s">
        <v>221</v>
      </c>
      <c r="G56" s="98">
        <v>5</v>
      </c>
      <c r="H56" s="115">
        <f>SUMIF(F$2:F51,F56,H$2:H51)</f>
        <v>522</v>
      </c>
      <c r="I56" s="115">
        <f>SUMIF(F$2:F51,F56,I$2:I51)</f>
        <v>8.874</v>
      </c>
      <c r="J56" s="216"/>
      <c r="K56" s="216"/>
      <c r="L56" s="115">
        <f>_xlfn.SUMIFS($H$2:$H$51,$K$2:$K$51,L$55,$F$2:$F$51,F56)</f>
        <v>0</v>
      </c>
      <c r="M56" s="115">
        <f>_xlfn.SUMIFS($H$2:$H$51,$K$2:$K$51,M$55,$F$2:$F$51,F56)</f>
        <v>48</v>
      </c>
      <c r="N56" s="115">
        <f>_xlfn.SUMIFS($H$2:$H$51,$K$2:$K$51,N$55,$F$2:$F$51,F56)</f>
        <v>474</v>
      </c>
      <c r="O56" s="115">
        <f>_xlfn.SUMIFS($H$2:$H$51,$K$2:$K$51,O$55,$F$2:$F$51,F56)</f>
        <v>0</v>
      </c>
    </row>
    <row r="57" spans="6:15" ht="11.25">
      <c r="F57" s="248" t="s">
        <v>192</v>
      </c>
      <c r="G57" s="98">
        <v>43</v>
      </c>
      <c r="H57" s="115">
        <f>SUMIF(F$2:F51,F57,H$2:H51)</f>
        <v>3541</v>
      </c>
      <c r="I57" s="115">
        <f>SUMIF(F$2:F51,F57,I$2:I51)</f>
        <v>60.19700000000001</v>
      </c>
      <c r="J57" s="242"/>
      <c r="K57" s="216">
        <v>1716.34</v>
      </c>
      <c r="L57" s="115">
        <f>_xlfn.SUMIFS($H$2:$H$51,$K$2:$K$51,L$55,$F$2:$F$51,F57)</f>
        <v>108</v>
      </c>
      <c r="M57" s="115">
        <f>_xlfn.SUMIFS($H$2:$H$51,$K$2:$K$51,M$55,$F$2:$F$51,F57)</f>
        <v>625</v>
      </c>
      <c r="N57" s="115">
        <f>_xlfn.SUMIFS($H$2:$H$51,$K$2:$K$51,N$55,$F$2:$F$51,F57)</f>
        <v>0</v>
      </c>
      <c r="O57" s="115">
        <f>_xlfn.SUMIFS($H$2:$H$51,$K$2:$K$51,O$55,$F$2:$F$51,F57)</f>
        <v>2808</v>
      </c>
    </row>
    <row r="58" spans="6:15" ht="11.25">
      <c r="F58" s="98" t="s">
        <v>18</v>
      </c>
      <c r="G58" s="98">
        <v>2</v>
      </c>
      <c r="H58" s="115">
        <f>SUMIF(F$2:F51,F58,H$2:H51)</f>
        <v>210</v>
      </c>
      <c r="I58" s="115">
        <f>SUMIF(F$2:F51,F58,I$2:I51)</f>
        <v>3.5700000000000003</v>
      </c>
      <c r="J58" s="216">
        <v>822.353</v>
      </c>
      <c r="K58" s="257">
        <v>649.38</v>
      </c>
      <c r="L58" s="115">
        <f>_xlfn.SUMIFS($H$2:$H$51,$K$2:$K$51,L$55,$F$2:$F$51,F58)</f>
        <v>210</v>
      </c>
      <c r="M58" s="115">
        <f>_xlfn.SUMIFS($H$2:$H$51,$K$2:$K$51,M$55,$F$2:$F$51,F58)</f>
        <v>0</v>
      </c>
      <c r="N58" s="115">
        <f>_xlfn.SUMIFS($H$2:$H$51,$K$2:$K$51,N$55,$F$2:$F$51,F58)</f>
        <v>0</v>
      </c>
      <c r="O58" s="115">
        <f>_xlfn.SUMIFS($H$2:$H$51,$K$2:$K$51,O$55,$F$2:$F$51,F58)</f>
        <v>0</v>
      </c>
    </row>
    <row r="59" spans="6:15" ht="11.25">
      <c r="F59" s="98" t="s">
        <v>10</v>
      </c>
      <c r="G59" s="98"/>
      <c r="H59" s="115">
        <f>SUMIF(G$2:G51,F59,H$2:H51)</f>
        <v>4273</v>
      </c>
      <c r="I59" s="115">
        <f>SUMIF(G$2:G51,F59,I$2:I51)</f>
        <v>72.64100000000002</v>
      </c>
      <c r="J59" s="216">
        <v>822.353</v>
      </c>
      <c r="K59" s="216">
        <v>2365.72</v>
      </c>
      <c r="L59" s="115">
        <f>_xlfn.SUMIFS($H$2:$H$51,$K$2:$K$51,L55,$G$2:$G$51,$F$59)</f>
        <v>318</v>
      </c>
      <c r="M59" s="115">
        <f>_xlfn.SUMIFS($H$2:$H$51,$K$2:$K$51,M55,$G$2:$G$51,$F$59)</f>
        <v>673</v>
      </c>
      <c r="N59" s="115">
        <f>_xlfn.SUMIFS($H$2:$H$51,$K$2:$K$51,N55,$G$2:$G$51,$F$59)</f>
        <v>474</v>
      </c>
      <c r="O59" s="115">
        <f>_xlfn.SUMIFS($H$2:$H$51,$K$2:$K$51,O55,$G$2:$G$51,$F$59)</f>
        <v>2808</v>
      </c>
    </row>
    <row r="60" spans="6:15" ht="11.25">
      <c r="F60" s="98" t="s">
        <v>19</v>
      </c>
      <c r="G60" s="98"/>
      <c r="H60" s="115">
        <f>SUMIF(G$2:G51,F60,H$2:H51)</f>
        <v>0</v>
      </c>
      <c r="I60" s="115">
        <f>SUMIF(G$2:G51,F60,I$2:I51)</f>
        <v>0</v>
      </c>
      <c r="J60" s="216"/>
      <c r="K60" s="216"/>
      <c r="L60" s="115"/>
      <c r="M60" s="115"/>
      <c r="N60" s="247"/>
      <c r="O60" s="115"/>
    </row>
    <row r="61" spans="6:15" ht="11.25">
      <c r="F61" s="98" t="s">
        <v>20</v>
      </c>
      <c r="G61" s="98"/>
      <c r="H61" s="115"/>
      <c r="I61" s="115"/>
      <c r="J61" s="216"/>
      <c r="K61" s="216"/>
      <c r="L61" s="115"/>
      <c r="M61" s="115"/>
      <c r="N61" s="247"/>
      <c r="O61" s="115"/>
    </row>
    <row r="62" spans="6:15" ht="11.25">
      <c r="F62" s="98" t="s">
        <v>21</v>
      </c>
      <c r="G62" s="98"/>
      <c r="H62" s="115"/>
      <c r="I62" s="115"/>
      <c r="J62" s="216"/>
      <c r="K62" s="216"/>
      <c r="L62" s="115"/>
      <c r="M62" s="115"/>
      <c r="N62" s="247"/>
      <c r="O62" s="115"/>
    </row>
  </sheetData>
  <sheetProtection/>
  <autoFilter ref="A1:P52"/>
  <mergeCells count="1">
    <mergeCell ref="J54:O54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Q6" sqref="Q6"/>
    </sheetView>
  </sheetViews>
  <sheetFormatPr defaultColWidth="9.140625" defaultRowHeight="12.75" outlineLevelCol="1"/>
  <cols>
    <col min="1" max="1" width="4.7109375" style="131" customWidth="1"/>
    <col min="2" max="2" width="13.00390625" style="131" customWidth="1"/>
    <col min="3" max="3" width="14.140625" style="132" customWidth="1" outlineLevel="1"/>
    <col min="4" max="4" width="13.57421875" style="133" customWidth="1" outlineLevel="1"/>
    <col min="5" max="5" width="4.8515625" style="131" customWidth="1"/>
    <col min="6" max="6" width="17.28125" style="131" customWidth="1" outlineLevel="1"/>
    <col min="7" max="7" width="6.00390625" style="131" customWidth="1" outlineLevel="1"/>
    <col min="8" max="8" width="7.7109375" style="131" customWidth="1"/>
    <col min="9" max="9" width="7.28125" style="131" customWidth="1" outlineLevel="1"/>
    <col min="10" max="10" width="7.57421875" style="131" customWidth="1" outlineLevel="1"/>
    <col min="11" max="11" width="8.8515625" style="131" customWidth="1" outlineLevel="1"/>
    <col min="12" max="12" width="9.00390625" style="131" bestFit="1" customWidth="1" outlineLevel="1"/>
    <col min="13" max="13" width="9.00390625" style="136" bestFit="1" customWidth="1"/>
    <col min="14" max="14" width="7.7109375" style="131" customWidth="1"/>
    <col min="15" max="15" width="10.28125" style="131" customWidth="1"/>
    <col min="16" max="16" width="10.140625" style="131" customWidth="1"/>
    <col min="17" max="16384" width="9.140625" style="131" customWidth="1"/>
  </cols>
  <sheetData>
    <row r="1" spans="1:16" s="118" customFormat="1" ht="60">
      <c r="A1" s="116" t="s">
        <v>0</v>
      </c>
      <c r="B1" s="116" t="s">
        <v>1</v>
      </c>
      <c r="C1" s="116" t="s">
        <v>2</v>
      </c>
      <c r="D1" s="117" t="s">
        <v>3</v>
      </c>
      <c r="E1" s="116"/>
      <c r="F1" s="116" t="s">
        <v>4</v>
      </c>
      <c r="G1" s="116" t="s">
        <v>5</v>
      </c>
      <c r="H1" s="116" t="s">
        <v>6</v>
      </c>
      <c r="I1" s="116" t="s">
        <v>7</v>
      </c>
      <c r="J1" s="116" t="s">
        <v>8</v>
      </c>
      <c r="K1" s="205" t="s">
        <v>9</v>
      </c>
      <c r="L1" s="230"/>
      <c r="M1" s="211"/>
      <c r="N1" s="208"/>
      <c r="O1" s="208"/>
      <c r="P1" s="208"/>
    </row>
    <row r="2" spans="1:16" s="125" customFormat="1" ht="11.25">
      <c r="A2" s="91">
        <v>1</v>
      </c>
      <c r="B2" s="119" t="s">
        <v>39</v>
      </c>
      <c r="C2" s="120" t="s">
        <v>39</v>
      </c>
      <c r="D2" s="121" t="s">
        <v>86</v>
      </c>
      <c r="E2" s="119">
        <v>2</v>
      </c>
      <c r="F2" s="119" t="str">
        <f aca="true" t="shared" si="0" ref="F2:F11">IF(E2=2,"budynek gospodarczy","budynek mieszkalny")</f>
        <v>budynek gospodarczy</v>
      </c>
      <c r="G2" s="119" t="s">
        <v>10</v>
      </c>
      <c r="H2" s="122">
        <f>5*2*30</f>
        <v>300</v>
      </c>
      <c r="I2" s="123">
        <f aca="true" t="shared" si="1" ref="I2:I11">0.017*H2</f>
        <v>5.1000000000000005</v>
      </c>
      <c r="J2" s="124" t="s">
        <v>26</v>
      </c>
      <c r="K2" s="206" t="s">
        <v>72</v>
      </c>
      <c r="L2" s="231"/>
      <c r="M2" s="212"/>
      <c r="N2" s="209"/>
      <c r="O2" s="209"/>
      <c r="P2" s="209"/>
    </row>
    <row r="3" spans="1:16" s="125" customFormat="1" ht="11.25">
      <c r="A3" s="91">
        <f>A2+1</f>
        <v>2</v>
      </c>
      <c r="B3" s="119" t="s">
        <v>39</v>
      </c>
      <c r="C3" s="120" t="s">
        <v>39</v>
      </c>
      <c r="D3" s="121" t="s">
        <v>86</v>
      </c>
      <c r="E3" s="119">
        <v>2</v>
      </c>
      <c r="F3" s="119" t="str">
        <f t="shared" si="0"/>
        <v>budynek gospodarczy</v>
      </c>
      <c r="G3" s="119" t="s">
        <v>10</v>
      </c>
      <c r="H3" s="122">
        <f>3*2*8</f>
        <v>48</v>
      </c>
      <c r="I3" s="123">
        <f t="shared" si="1"/>
        <v>0.8160000000000001</v>
      </c>
      <c r="J3" s="124" t="s">
        <v>23</v>
      </c>
      <c r="K3" s="206" t="s">
        <v>70</v>
      </c>
      <c r="L3" s="231"/>
      <c r="M3" s="212"/>
      <c r="N3" s="209"/>
      <c r="O3" s="209"/>
      <c r="P3" s="209"/>
    </row>
    <row r="4" spans="1:16" s="125" customFormat="1" ht="11.25">
      <c r="A4" s="91">
        <f>A3+1</f>
        <v>3</v>
      </c>
      <c r="B4" s="119" t="s">
        <v>39</v>
      </c>
      <c r="C4" s="120" t="s">
        <v>39</v>
      </c>
      <c r="D4" s="121" t="s">
        <v>187</v>
      </c>
      <c r="E4" s="119">
        <v>2</v>
      </c>
      <c r="F4" s="119" t="str">
        <f t="shared" si="0"/>
        <v>budynek gospodarczy</v>
      </c>
      <c r="G4" s="119" t="s">
        <v>10</v>
      </c>
      <c r="H4" s="122">
        <f>3*8</f>
        <v>24</v>
      </c>
      <c r="I4" s="123">
        <f t="shared" si="1"/>
        <v>0.40800000000000003</v>
      </c>
      <c r="J4" s="124" t="s">
        <v>23</v>
      </c>
      <c r="K4" s="206" t="s">
        <v>70</v>
      </c>
      <c r="L4" s="231"/>
      <c r="M4" s="212"/>
      <c r="N4" s="209"/>
      <c r="O4" s="209"/>
      <c r="P4" s="209"/>
    </row>
    <row r="5" spans="1:16" s="125" customFormat="1" ht="11.25">
      <c r="A5" s="91">
        <v>4</v>
      </c>
      <c r="B5" s="119" t="s">
        <v>39</v>
      </c>
      <c r="C5" s="120" t="s">
        <v>39</v>
      </c>
      <c r="D5" s="121" t="s">
        <v>28</v>
      </c>
      <c r="E5" s="119">
        <v>0</v>
      </c>
      <c r="F5" s="119" t="str">
        <f t="shared" si="0"/>
        <v>budynek mieszkalny</v>
      </c>
      <c r="G5" s="119" t="s">
        <v>10</v>
      </c>
      <c r="H5" s="122">
        <f>5*2*10</f>
        <v>100</v>
      </c>
      <c r="I5" s="123">
        <f t="shared" si="1"/>
        <v>1.7000000000000002</v>
      </c>
      <c r="J5" s="124" t="s">
        <v>24</v>
      </c>
      <c r="K5" s="206" t="s">
        <v>71</v>
      </c>
      <c r="L5" s="231"/>
      <c r="M5" s="212"/>
      <c r="N5" s="209"/>
      <c r="O5" s="209"/>
      <c r="P5" s="209"/>
    </row>
    <row r="6" spans="1:16" s="125" customFormat="1" ht="11.25">
      <c r="A6" s="91">
        <v>5</v>
      </c>
      <c r="B6" s="119" t="s">
        <v>39</v>
      </c>
      <c r="C6" s="120" t="s">
        <v>39</v>
      </c>
      <c r="D6" s="121" t="s">
        <v>25</v>
      </c>
      <c r="E6" s="119">
        <v>2</v>
      </c>
      <c r="F6" s="119" t="str">
        <f>IF(E6=2,"budynek gospodarczy","budynek mieszkalny")</f>
        <v>budynek gospodarczy</v>
      </c>
      <c r="G6" s="119" t="s">
        <v>10</v>
      </c>
      <c r="H6" s="122">
        <f>3*4</f>
        <v>12</v>
      </c>
      <c r="I6" s="123">
        <f t="shared" si="1"/>
        <v>0.20400000000000001</v>
      </c>
      <c r="J6" s="124" t="s">
        <v>23</v>
      </c>
      <c r="K6" s="206" t="s">
        <v>70</v>
      </c>
      <c r="L6" s="231"/>
      <c r="M6" s="212"/>
      <c r="N6" s="209"/>
      <c r="O6" s="209"/>
      <c r="P6" s="209"/>
    </row>
    <row r="7" spans="1:16" ht="11.25">
      <c r="A7" s="91">
        <v>6</v>
      </c>
      <c r="B7" s="126" t="s">
        <v>39</v>
      </c>
      <c r="C7" s="127" t="s">
        <v>39</v>
      </c>
      <c r="D7" s="128" t="s">
        <v>188</v>
      </c>
      <c r="E7" s="126">
        <v>2</v>
      </c>
      <c r="F7" s="126" t="str">
        <f>IF(E7=2,"budynek gospodarczy","budynek mieszkalny")</f>
        <v>budynek gospodarczy</v>
      </c>
      <c r="G7" s="126" t="s">
        <v>10</v>
      </c>
      <c r="H7" s="129">
        <f>6*8</f>
        <v>48</v>
      </c>
      <c r="I7" s="123">
        <f t="shared" si="1"/>
        <v>0.8160000000000001</v>
      </c>
      <c r="J7" s="130" t="s">
        <v>23</v>
      </c>
      <c r="K7" s="207" t="s">
        <v>70</v>
      </c>
      <c r="L7" s="232"/>
      <c r="M7" s="213"/>
      <c r="N7" s="210"/>
      <c r="O7" s="210"/>
      <c r="P7" s="210"/>
    </row>
    <row r="8" spans="1:16" ht="11.25">
      <c r="A8" s="91">
        <v>7</v>
      </c>
      <c r="B8" s="126" t="s">
        <v>39</v>
      </c>
      <c r="C8" s="127" t="s">
        <v>39</v>
      </c>
      <c r="D8" s="128" t="s">
        <v>188</v>
      </c>
      <c r="E8" s="126">
        <v>2</v>
      </c>
      <c r="F8" s="126" t="str">
        <f>IF(E8=2,"budynek gospodarczy","budynek mieszkalny")</f>
        <v>budynek gospodarczy</v>
      </c>
      <c r="G8" s="126" t="s">
        <v>10</v>
      </c>
      <c r="H8" s="129">
        <f>2*3</f>
        <v>6</v>
      </c>
      <c r="I8" s="123">
        <f t="shared" si="1"/>
        <v>0.10200000000000001</v>
      </c>
      <c r="J8" s="130" t="s">
        <v>23</v>
      </c>
      <c r="K8" s="207" t="s">
        <v>70</v>
      </c>
      <c r="L8" s="232"/>
      <c r="M8" s="213"/>
      <c r="N8" s="210"/>
      <c r="O8" s="210"/>
      <c r="P8" s="210"/>
    </row>
    <row r="9" spans="1:16" s="125" customFormat="1" ht="11.25">
      <c r="A9" s="91">
        <v>8</v>
      </c>
      <c r="B9" s="119" t="s">
        <v>39</v>
      </c>
      <c r="C9" s="120" t="s">
        <v>39</v>
      </c>
      <c r="D9" s="121" t="s">
        <v>87</v>
      </c>
      <c r="E9" s="119">
        <v>2</v>
      </c>
      <c r="F9" s="119" t="str">
        <f t="shared" si="0"/>
        <v>budynek gospodarczy</v>
      </c>
      <c r="G9" s="119" t="s">
        <v>10</v>
      </c>
      <c r="H9" s="122">
        <f>5.5*2*10</f>
        <v>110</v>
      </c>
      <c r="I9" s="123">
        <f t="shared" si="1"/>
        <v>1.87</v>
      </c>
      <c r="J9" s="124" t="s">
        <v>26</v>
      </c>
      <c r="K9" s="206" t="s">
        <v>72</v>
      </c>
      <c r="L9" s="231"/>
      <c r="M9" s="212"/>
      <c r="N9" s="209"/>
      <c r="O9" s="209"/>
      <c r="P9" s="209"/>
    </row>
    <row r="10" spans="1:16" s="125" customFormat="1" ht="11.25">
      <c r="A10" s="91">
        <v>9</v>
      </c>
      <c r="B10" s="225" t="s">
        <v>215</v>
      </c>
      <c r="C10" s="226" t="s">
        <v>39</v>
      </c>
      <c r="D10" s="227" t="s">
        <v>216</v>
      </c>
      <c r="E10" s="119">
        <v>3</v>
      </c>
      <c r="F10" s="225" t="s">
        <v>18</v>
      </c>
      <c r="G10" s="225" t="s">
        <v>10</v>
      </c>
      <c r="H10" s="122">
        <v>65</v>
      </c>
      <c r="I10" s="123">
        <f t="shared" si="1"/>
        <v>1.105</v>
      </c>
      <c r="J10" s="228" t="s">
        <v>23</v>
      </c>
      <c r="K10" s="229" t="s">
        <v>203</v>
      </c>
      <c r="L10" s="233"/>
      <c r="M10" s="212"/>
      <c r="N10" s="209"/>
      <c r="O10" s="209"/>
      <c r="P10" s="209"/>
    </row>
    <row r="11" spans="1:16" s="125" customFormat="1" ht="11.25">
      <c r="A11" s="91">
        <v>10</v>
      </c>
      <c r="B11" s="119" t="s">
        <v>39</v>
      </c>
      <c r="C11" s="120" t="s">
        <v>39</v>
      </c>
      <c r="D11" s="121" t="s">
        <v>88</v>
      </c>
      <c r="E11" s="119">
        <v>2</v>
      </c>
      <c r="F11" s="119" t="str">
        <f t="shared" si="0"/>
        <v>budynek gospodarczy</v>
      </c>
      <c r="G11" s="119" t="s">
        <v>10</v>
      </c>
      <c r="H11" s="122">
        <f>5*2*30</f>
        <v>300</v>
      </c>
      <c r="I11" s="123">
        <f t="shared" si="1"/>
        <v>5.1000000000000005</v>
      </c>
      <c r="J11" s="124" t="s">
        <v>26</v>
      </c>
      <c r="K11" s="206" t="s">
        <v>72</v>
      </c>
      <c r="L11" s="231"/>
      <c r="M11" s="212"/>
      <c r="N11" s="209"/>
      <c r="O11" s="209"/>
      <c r="P11" s="209"/>
    </row>
    <row r="12" spans="9:12" ht="11.25">
      <c r="I12" s="134"/>
      <c r="J12" s="135"/>
      <c r="K12" s="135"/>
      <c r="L12" s="135"/>
    </row>
    <row r="13" spans="7:12" ht="11.25">
      <c r="G13" s="131" t="s">
        <v>11</v>
      </c>
      <c r="H13" s="137">
        <f>SUM(H2:H11)</f>
        <v>1013</v>
      </c>
      <c r="I13" s="138">
        <f>SUM(I2:I11)</f>
        <v>17.221000000000004</v>
      </c>
      <c r="J13" s="139"/>
      <c r="K13" s="139"/>
      <c r="L13" s="139"/>
    </row>
    <row r="14" spans="10:15" ht="11.25">
      <c r="J14" s="263" t="s">
        <v>14</v>
      </c>
      <c r="K14" s="264"/>
      <c r="L14" s="264"/>
      <c r="M14" s="264"/>
      <c r="N14" s="264"/>
      <c r="O14" s="264"/>
    </row>
    <row r="15" spans="6:15" ht="11.25">
      <c r="F15" s="140" t="s">
        <v>12</v>
      </c>
      <c r="G15" s="140" t="s">
        <v>13</v>
      </c>
      <c r="H15" s="140" t="s">
        <v>14</v>
      </c>
      <c r="I15" s="140" t="s">
        <v>15</v>
      </c>
      <c r="J15" s="215" t="s">
        <v>199</v>
      </c>
      <c r="K15" s="215" t="s">
        <v>200</v>
      </c>
      <c r="L15" s="162">
        <v>2015</v>
      </c>
      <c r="M15" s="162">
        <v>2017</v>
      </c>
      <c r="N15" s="162">
        <v>2022</v>
      </c>
      <c r="O15" s="162">
        <v>2032</v>
      </c>
    </row>
    <row r="16" spans="6:15" ht="11.25">
      <c r="F16" s="249" t="s">
        <v>221</v>
      </c>
      <c r="G16" s="126">
        <v>1</v>
      </c>
      <c r="H16" s="141">
        <f>SUMIF(F$2:F11,F16,H$2:H11)</f>
        <v>100</v>
      </c>
      <c r="I16" s="141">
        <f>SUMIF(F$2:F11,F16,I$2:I11)</f>
        <v>1.7000000000000002</v>
      </c>
      <c r="J16" s="216"/>
      <c r="K16" s="216"/>
      <c r="L16" s="141">
        <f>_xlfn.SUMIFS($H$2:$H$11,$K$2:$K$11,L$15,$F$2:$F$11,F16)</f>
        <v>0</v>
      </c>
      <c r="M16" s="141">
        <f>_xlfn.SUMIFS($H$2:$H$11,$K$2:$K$11,M$15,$F$2:$F$11,F16)</f>
        <v>0</v>
      </c>
      <c r="N16" s="141">
        <f>_xlfn.SUMIFS($H$2:$H$11,$K$2:$K$11,N$15,$F$2:$F$11,F16)</f>
        <v>100</v>
      </c>
      <c r="O16" s="141">
        <f>_xlfn.SUMIFS($H$2:$H$11,$K$2:$K$11,O$15,$F$2:$F$11,F16)</f>
        <v>0</v>
      </c>
    </row>
    <row r="17" spans="6:15" ht="11.25">
      <c r="F17" s="249" t="s">
        <v>192</v>
      </c>
      <c r="G17" s="126">
        <v>8</v>
      </c>
      <c r="H17" s="141">
        <f>SUMIF(F$2:F11,F17,H$2:H11)</f>
        <v>848</v>
      </c>
      <c r="I17" s="141">
        <f>SUMIF(F$2:F11,F17,I$2:I11)</f>
        <v>14.416</v>
      </c>
      <c r="J17" s="242"/>
      <c r="K17" s="216">
        <v>14.25</v>
      </c>
      <c r="L17" s="141">
        <f>_xlfn.SUMIFS($H$2:$H$11,$K$2:$K$11,L$15,$F$2:$F$11,F17)</f>
        <v>0</v>
      </c>
      <c r="M17" s="141">
        <f>_xlfn.SUMIFS($H$2:$H$11,$K$2:$K$11,M$15,$F$2:$F$11,F17)</f>
        <v>138</v>
      </c>
      <c r="N17" s="141">
        <f>_xlfn.SUMIFS($H$2:$H$11,$K$2:$K$11,N$15,$F$2:$F$11,F17)</f>
        <v>0</v>
      </c>
      <c r="O17" s="141">
        <f>_xlfn.SUMIFS($H$2:$H$11,$K$2:$K$11,O$15,$F$2:$F$11,F17)</f>
        <v>710</v>
      </c>
    </row>
    <row r="18" spans="6:15" ht="11.25">
      <c r="F18" s="126" t="s">
        <v>18</v>
      </c>
      <c r="G18" s="126">
        <v>1</v>
      </c>
      <c r="H18" s="141">
        <f>SUMIF(F$2:F11,F18,H$2:H11)</f>
        <v>65</v>
      </c>
      <c r="I18" s="141">
        <f>SUMIF(F$2:F11,F18,I$2:I11)</f>
        <v>1.105</v>
      </c>
      <c r="J18" s="216">
        <v>325.294</v>
      </c>
      <c r="K18" s="216">
        <v>29.66</v>
      </c>
      <c r="L18" s="141">
        <f>_xlfn.SUMIFS($H$2:$H$11,$K$2:$K$11,L$15,$F$2:$F$11,F18)</f>
        <v>65</v>
      </c>
      <c r="M18" s="141">
        <f>_xlfn.SUMIFS($H$2:$H$11,$K$2:$K$11,M$15,$F$2:$F$11,F18)</f>
        <v>0</v>
      </c>
      <c r="N18" s="141">
        <f>_xlfn.SUMIFS($H$2:$H$11,$K$2:$K$11,N$15,$F$2:$F$11,F18)</f>
        <v>0</v>
      </c>
      <c r="O18" s="141">
        <f>_xlfn.SUMIFS($H$2:$H$11,$K$2:$K$11,O$15,$F$2:$F$11,F18)</f>
        <v>0</v>
      </c>
    </row>
    <row r="19" spans="6:15" ht="11.25">
      <c r="F19" s="126" t="s">
        <v>10</v>
      </c>
      <c r="G19" s="126"/>
      <c r="H19" s="141">
        <f>SUMIF(G$2:G11,F19,H$2:H11)</f>
        <v>1013</v>
      </c>
      <c r="I19" s="141">
        <f>SUMIF(G$2:G11,F19,I$2:I11)</f>
        <v>17.221000000000004</v>
      </c>
      <c r="J19" s="216">
        <v>325.294</v>
      </c>
      <c r="K19" s="216">
        <v>43.91</v>
      </c>
      <c r="L19" s="141">
        <f>_xlfn.SUMIFS($H$2:$H$11,$K$2:$K$11,L15,$G$2:$G$11,$F$19)</f>
        <v>65</v>
      </c>
      <c r="M19" s="141">
        <f>_xlfn.SUMIFS($H$2:$H$11,$K$2:$K$11,M15,$G$2:$G$11,$F$19)</f>
        <v>138</v>
      </c>
      <c r="N19" s="141">
        <f>_xlfn.SUMIFS($H$2:$H$11,$K$2:$K$11,N15,$G$2:$G$11,$F$19)</f>
        <v>100</v>
      </c>
      <c r="O19" s="141">
        <f>_xlfn.SUMIFS($H$2:$H$11,$K$2:$K$11,O15,$G$2:$G$11,$F$19)</f>
        <v>710</v>
      </c>
    </row>
    <row r="20" spans="6:15" ht="11.25">
      <c r="F20" s="126" t="s">
        <v>19</v>
      </c>
      <c r="G20" s="126"/>
      <c r="H20" s="141">
        <f>SUMIF(G$2:G11,F20,H$2:H11)</f>
        <v>0</v>
      </c>
      <c r="I20" s="141">
        <f>SUMIF(G$2:G11,F20,I$2:I11)</f>
        <v>0</v>
      </c>
      <c r="J20" s="216"/>
      <c r="K20" s="216"/>
      <c r="L20" s="141"/>
      <c r="M20" s="141"/>
      <c r="N20" s="250"/>
      <c r="O20" s="141"/>
    </row>
    <row r="21" spans="6:15" ht="11.25">
      <c r="F21" s="126" t="s">
        <v>20</v>
      </c>
      <c r="G21" s="126"/>
      <c r="H21" s="141"/>
      <c r="I21" s="141"/>
      <c r="J21" s="216"/>
      <c r="K21" s="216"/>
      <c r="L21" s="141"/>
      <c r="M21" s="141"/>
      <c r="N21" s="250"/>
      <c r="O21" s="141"/>
    </row>
    <row r="22" spans="6:15" ht="11.25">
      <c r="F22" s="126" t="s">
        <v>21</v>
      </c>
      <c r="G22" s="126"/>
      <c r="H22" s="141"/>
      <c r="I22" s="141"/>
      <c r="J22" s="216"/>
      <c r="K22" s="216"/>
      <c r="L22" s="141"/>
      <c r="M22" s="141"/>
      <c r="N22" s="250"/>
      <c r="O22" s="141"/>
    </row>
  </sheetData>
  <sheetProtection/>
  <autoFilter ref="A1:P11"/>
  <mergeCells count="1">
    <mergeCell ref="J14:O14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4"/>
  <sheetViews>
    <sheetView showGridLines="0" tabSelected="1" workbookViewId="0" topLeftCell="A1">
      <pane xSplit="19710" topLeftCell="AG1" activePane="topLeft" state="split"/>
      <selection pane="topLeft" activeCell="P28" sqref="P28"/>
      <selection pane="topRight" activeCell="AG1" sqref="AG1"/>
    </sheetView>
  </sheetViews>
  <sheetFormatPr defaultColWidth="9.140625" defaultRowHeight="12.75" outlineLevelCol="1"/>
  <cols>
    <col min="1" max="1" width="4.57421875" style="18" customWidth="1"/>
    <col min="2" max="2" width="16.421875" style="40" customWidth="1"/>
    <col min="3" max="3" width="7.421875" style="18" customWidth="1"/>
    <col min="4" max="4" width="7.421875" style="25" customWidth="1"/>
    <col min="5" max="6" width="7.421875" style="18" customWidth="1"/>
    <col min="7" max="7" width="7.421875" style="25" customWidth="1"/>
    <col min="8" max="8" width="8.28125" style="25" customWidth="1"/>
    <col min="9" max="9" width="7.7109375" style="18" customWidth="1"/>
    <col min="10" max="10" width="7.7109375" style="26" customWidth="1"/>
    <col min="11" max="11" width="9.28125" style="38" customWidth="1" outlineLevel="1"/>
    <col min="12" max="16" width="9.28125" style="26" customWidth="1" outlineLevel="1"/>
    <col min="17" max="17" width="9.28125" style="25" customWidth="1" outlineLevel="1"/>
    <col min="18" max="18" width="9.28125" style="18" customWidth="1" outlineLevel="1"/>
    <col min="19" max="19" width="9.28125" style="25" customWidth="1" outlineLevel="1"/>
    <col min="20" max="20" width="9.28125" style="18" customWidth="1" outlineLevel="1"/>
    <col min="21" max="21" width="9.28125" style="25" customWidth="1" outlineLevel="1"/>
    <col min="22" max="22" width="9.28125" style="18" customWidth="1" outlineLevel="1"/>
    <col min="23" max="23" width="9.28125" style="25" customWidth="1" outlineLevel="1"/>
    <col min="24" max="24" width="9.28125" style="18" customWidth="1" outlineLevel="1"/>
    <col min="25" max="25" width="9.28125" style="25" customWidth="1" outlineLevel="1"/>
    <col min="26" max="26" width="9.28125" style="18" customWidth="1" outlineLevel="1"/>
    <col min="27" max="27" width="9.140625" style="25" customWidth="1" outlineLevel="1"/>
    <col min="28" max="28" width="9.140625" style="18" customWidth="1" outlineLevel="1"/>
    <col min="29" max="29" width="9.140625" style="18" customWidth="1"/>
    <col min="30" max="34" width="7.00390625" style="18" customWidth="1" outlineLevel="1"/>
    <col min="35" max="35" width="7.8515625" style="18" customWidth="1" outlineLevel="1"/>
    <col min="36" max="36" width="8.7109375" style="18" customWidth="1" outlineLevel="1"/>
    <col min="37" max="37" width="7.8515625" style="18" customWidth="1" outlineLevel="1"/>
    <col min="38" max="38" width="6.7109375" style="18" customWidth="1"/>
    <col min="39" max="16384" width="9.140625" style="18" customWidth="1"/>
  </cols>
  <sheetData>
    <row r="1" spans="1:36" ht="12.75" customHeight="1">
      <c r="A1" s="267" t="s">
        <v>0</v>
      </c>
      <c r="B1" s="273" t="s">
        <v>1</v>
      </c>
      <c r="C1" s="267" t="s">
        <v>16</v>
      </c>
      <c r="D1" s="267"/>
      <c r="E1" s="267"/>
      <c r="F1" s="267" t="s">
        <v>17</v>
      </c>
      <c r="G1" s="267"/>
      <c r="H1" s="267"/>
      <c r="I1" s="267" t="s">
        <v>73</v>
      </c>
      <c r="J1" s="267"/>
      <c r="K1" s="267" t="s">
        <v>9</v>
      </c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8" t="s">
        <v>74</v>
      </c>
      <c r="X1" s="269"/>
      <c r="Y1" s="269"/>
      <c r="Z1" s="269"/>
      <c r="AA1" s="269"/>
      <c r="AB1" s="270"/>
      <c r="AE1" s="265" t="s">
        <v>222</v>
      </c>
      <c r="AF1" s="265"/>
      <c r="AG1" s="265"/>
      <c r="AH1" s="265"/>
      <c r="AI1" s="265"/>
      <c r="AJ1" s="265"/>
    </row>
    <row r="2" spans="1:37" s="21" customFormat="1" ht="12.75" customHeight="1">
      <c r="A2" s="267"/>
      <c r="B2" s="273"/>
      <c r="C2" s="267"/>
      <c r="D2" s="267"/>
      <c r="E2" s="267"/>
      <c r="F2" s="267"/>
      <c r="G2" s="267"/>
      <c r="H2" s="267"/>
      <c r="I2" s="267"/>
      <c r="J2" s="267"/>
      <c r="K2" s="274" t="s">
        <v>198</v>
      </c>
      <c r="L2" s="274"/>
      <c r="M2" s="272" t="s">
        <v>218</v>
      </c>
      <c r="N2" s="272"/>
      <c r="O2" s="268" t="s">
        <v>219</v>
      </c>
      <c r="P2" s="270"/>
      <c r="Q2" s="266" t="s">
        <v>56</v>
      </c>
      <c r="R2" s="266"/>
      <c r="S2" s="266" t="s">
        <v>55</v>
      </c>
      <c r="T2" s="266"/>
      <c r="U2" s="266" t="s">
        <v>54</v>
      </c>
      <c r="V2" s="266"/>
      <c r="W2" s="266" t="s">
        <v>75</v>
      </c>
      <c r="X2" s="266"/>
      <c r="Y2" s="266" t="s">
        <v>76</v>
      </c>
      <c r="Z2" s="266"/>
      <c r="AA2" s="266" t="s">
        <v>77</v>
      </c>
      <c r="AB2" s="266"/>
      <c r="AD2" s="265" t="s">
        <v>14</v>
      </c>
      <c r="AE2" s="265"/>
      <c r="AF2" s="265"/>
      <c r="AI2" s="265" t="s">
        <v>15</v>
      </c>
      <c r="AJ2" s="265"/>
      <c r="AK2" s="265"/>
    </row>
    <row r="3" spans="1:36" s="21" customFormat="1" ht="11.25">
      <c r="A3" s="267"/>
      <c r="B3" s="273"/>
      <c r="C3" s="20" t="s">
        <v>13</v>
      </c>
      <c r="D3" s="22" t="s">
        <v>78</v>
      </c>
      <c r="E3" s="20" t="s">
        <v>79</v>
      </c>
      <c r="F3" s="20" t="s">
        <v>13</v>
      </c>
      <c r="G3" s="22" t="s">
        <v>78</v>
      </c>
      <c r="H3" s="22" t="s">
        <v>79</v>
      </c>
      <c r="I3" s="20" t="s">
        <v>13</v>
      </c>
      <c r="J3" s="19" t="s">
        <v>79</v>
      </c>
      <c r="K3" s="217" t="s">
        <v>78</v>
      </c>
      <c r="L3" s="218" t="s">
        <v>79</v>
      </c>
      <c r="M3" s="251" t="s">
        <v>78</v>
      </c>
      <c r="N3" s="252" t="s">
        <v>79</v>
      </c>
      <c r="O3" s="22" t="s">
        <v>78</v>
      </c>
      <c r="P3" s="20" t="s">
        <v>79</v>
      </c>
      <c r="Q3" s="22" t="s">
        <v>78</v>
      </c>
      <c r="R3" s="20" t="s">
        <v>79</v>
      </c>
      <c r="S3" s="22" t="s">
        <v>78</v>
      </c>
      <c r="T3" s="20" t="s">
        <v>79</v>
      </c>
      <c r="U3" s="22" t="s">
        <v>78</v>
      </c>
      <c r="V3" s="20" t="s">
        <v>79</v>
      </c>
      <c r="W3" s="22" t="s">
        <v>78</v>
      </c>
      <c r="X3" s="20" t="s">
        <v>79</v>
      </c>
      <c r="Y3" s="22" t="s">
        <v>78</v>
      </c>
      <c r="Z3" s="20" t="s">
        <v>79</v>
      </c>
      <c r="AA3" s="22" t="s">
        <v>78</v>
      </c>
      <c r="AB3" s="20" t="s">
        <v>79</v>
      </c>
      <c r="AJ3" s="41"/>
    </row>
    <row r="4" spans="1:39" ht="11.25">
      <c r="A4" s="23">
        <v>1</v>
      </c>
      <c r="B4" s="17" t="s">
        <v>45</v>
      </c>
      <c r="C4" s="23">
        <f>'Bielkowo (1)'!$G$32</f>
        <v>3</v>
      </c>
      <c r="D4" s="24">
        <f>'Bielkowo (1)'!$H$32</f>
        <v>208</v>
      </c>
      <c r="E4" s="63">
        <f>D4*0.017</f>
        <v>3.5360000000000005</v>
      </c>
      <c r="F4" s="23">
        <f>'Bielkowo (1)'!$G$33</f>
        <v>16</v>
      </c>
      <c r="G4" s="24">
        <f>'Bielkowo (1)'!$H$33</f>
        <v>2495</v>
      </c>
      <c r="H4" s="63">
        <f>G4*0.017</f>
        <v>42.415000000000006</v>
      </c>
      <c r="I4" s="29">
        <f>'Bielkowo (1)'!G34</f>
        <v>3</v>
      </c>
      <c r="J4" s="63">
        <f>'Bielkowo (1)'!I34</f>
        <v>3.4000000000000004</v>
      </c>
      <c r="K4" s="219">
        <f>SUM('Bielkowo (1)'!J32:J34)</f>
        <v>827.647</v>
      </c>
      <c r="L4" s="220">
        <f>K4*0.017</f>
        <v>14.069999000000001</v>
      </c>
      <c r="M4" s="253">
        <f>SUM('Bielkowo (1)'!K32:K34)</f>
        <v>663.88</v>
      </c>
      <c r="N4" s="220">
        <f>M4*0.017</f>
        <v>11.285960000000001</v>
      </c>
      <c r="O4" s="143">
        <f>SUM('Bielkowo (1)'!L32:L34)</f>
        <v>1204</v>
      </c>
      <c r="P4" s="143">
        <f>O4*0.017</f>
        <v>20.468</v>
      </c>
      <c r="Q4" s="144">
        <f>SUM('Bielkowo (1)'!M32:M34)</f>
        <v>104</v>
      </c>
      <c r="R4" s="143">
        <f>Q4*0.017</f>
        <v>1.7680000000000002</v>
      </c>
      <c r="S4" s="144">
        <f>SUM('Bielkowo (1)'!N32:N34)</f>
        <v>459</v>
      </c>
      <c r="T4" s="143">
        <f>S4*0.017</f>
        <v>7.803000000000001</v>
      </c>
      <c r="U4" s="144">
        <f>SUM('Bielkowo (1)'!O32:O34)</f>
        <v>1136</v>
      </c>
      <c r="V4" s="143">
        <f>U4*0.017</f>
        <v>19.312</v>
      </c>
      <c r="W4" s="144">
        <f>'Bielkowo (1)'!H35</f>
        <v>2903</v>
      </c>
      <c r="X4" s="143">
        <f>W4*0.017</f>
        <v>49.351000000000006</v>
      </c>
      <c r="Y4" s="24">
        <v>0</v>
      </c>
      <c r="Z4" s="24">
        <v>0</v>
      </c>
      <c r="AA4" s="24">
        <v>0</v>
      </c>
      <c r="AB4" s="24">
        <v>0</v>
      </c>
      <c r="AC4" s="41">
        <f>C4+F4+I4</f>
        <v>22</v>
      </c>
      <c r="AD4" s="25">
        <f>D4+G4</f>
        <v>2703</v>
      </c>
      <c r="AE4" s="25">
        <f>O4+Q4+S4+U4</f>
        <v>2903</v>
      </c>
      <c r="AF4" s="25">
        <f>W4+Y4+AA4</f>
        <v>2903</v>
      </c>
      <c r="AG4" s="25">
        <f>AE4-AD4</f>
        <v>200</v>
      </c>
      <c r="AH4" s="25">
        <f>AE4-AF4</f>
        <v>0</v>
      </c>
      <c r="AI4" s="62">
        <f>E4+H4+J4</f>
        <v>49.351000000000006</v>
      </c>
      <c r="AJ4" s="62">
        <f>R4+T4+V4+P4</f>
        <v>49.351</v>
      </c>
      <c r="AK4" s="62">
        <f>X4+Z4+AB4</f>
        <v>49.351000000000006</v>
      </c>
      <c r="AM4" s="18">
        <f aca="true" t="shared" si="0" ref="AM4:AM12">W4+Y4-D4-G4-J4/0.017</f>
        <v>0</v>
      </c>
    </row>
    <row r="5" spans="1:39" s="31" customFormat="1" ht="11.25">
      <c r="A5" s="27">
        <f aca="true" t="shared" si="1" ref="A5:A18">A4+1</f>
        <v>2</v>
      </c>
      <c r="B5" s="28" t="s">
        <v>29</v>
      </c>
      <c r="C5" s="29">
        <f>'Cisewo (2)'!$G$19</f>
        <v>2</v>
      </c>
      <c r="D5" s="30">
        <f>'Cisewo (2)'!$H$19</f>
        <v>276</v>
      </c>
      <c r="E5" s="63">
        <f aca="true" t="shared" si="2" ref="E5:E18">D5*0.017</f>
        <v>4.692</v>
      </c>
      <c r="F5" s="29">
        <f>'Cisewo (2)'!$G$20</f>
        <v>11</v>
      </c>
      <c r="G5" s="30">
        <f>'Cisewo (2)'!$H$20</f>
        <v>1042</v>
      </c>
      <c r="H5" s="63">
        <f aca="true" t="shared" si="3" ref="H5:H18">G5*0.017</f>
        <v>17.714000000000002</v>
      </c>
      <c r="I5" s="29">
        <f>'Cisewo (2)'!G21</f>
        <v>0</v>
      </c>
      <c r="J5" s="64">
        <f>'Cisewo (2)'!I21</f>
        <v>0</v>
      </c>
      <c r="K5" s="219">
        <f>SUM('Cisewo (2)'!J19:J21)</f>
        <v>0</v>
      </c>
      <c r="L5" s="220">
        <f aca="true" t="shared" si="4" ref="L5:L18">K5*0.017</f>
        <v>0</v>
      </c>
      <c r="M5" s="253">
        <f>SUM('Cisewo (2)'!K19:K21)</f>
        <v>25.42</v>
      </c>
      <c r="N5" s="220">
        <f aca="true" t="shared" si="5" ref="N5:N18">M5*0.017</f>
        <v>0.4321400000000001</v>
      </c>
      <c r="O5" s="143">
        <f>SUM('Cisewo (2)'!L19:L21)</f>
        <v>0</v>
      </c>
      <c r="P5" s="143">
        <f aca="true" t="shared" si="6" ref="P5:P18">O5*0.017</f>
        <v>0</v>
      </c>
      <c r="Q5" s="144">
        <f>SUM('Cisewo (2)'!M19:M21)</f>
        <v>152</v>
      </c>
      <c r="R5" s="143">
        <f aca="true" t="shared" si="7" ref="R5:R18">Q5*0.017</f>
        <v>2.584</v>
      </c>
      <c r="S5" s="144">
        <f>SUM('Cisewo (2)'!N19:N21)</f>
        <v>276</v>
      </c>
      <c r="T5" s="143">
        <f aca="true" t="shared" si="8" ref="T5:T18">S5*0.017</f>
        <v>4.692</v>
      </c>
      <c r="U5" s="144">
        <f>SUM('Cisewo (2)'!O19:O21)</f>
        <v>890</v>
      </c>
      <c r="V5" s="143">
        <f aca="true" t="shared" si="9" ref="V5:V18">U5*0.017</f>
        <v>15.13</v>
      </c>
      <c r="W5" s="144">
        <f>'Cisewo (2)'!H22</f>
        <v>1318</v>
      </c>
      <c r="X5" s="143">
        <f aca="true" t="shared" si="10" ref="X5:X18">W5*0.017</f>
        <v>22.406000000000002</v>
      </c>
      <c r="Y5" s="30">
        <v>0</v>
      </c>
      <c r="Z5" s="30">
        <v>0</v>
      </c>
      <c r="AA5" s="30">
        <v>0</v>
      </c>
      <c r="AB5" s="30">
        <v>0</v>
      </c>
      <c r="AC5" s="18">
        <f>C5+F5+I5</f>
        <v>13</v>
      </c>
      <c r="AD5" s="25">
        <f aca="true" t="shared" si="11" ref="AD5:AD19">D5+G5</f>
        <v>1318</v>
      </c>
      <c r="AE5" s="25">
        <f aca="true" t="shared" si="12" ref="AE5:AE18">O5+Q5+S5+U5</f>
        <v>1318</v>
      </c>
      <c r="AF5" s="25">
        <f aca="true" t="shared" si="13" ref="AF5:AF18">W5+Y5+AA5</f>
        <v>1318</v>
      </c>
      <c r="AG5" s="25">
        <f aca="true" t="shared" si="14" ref="AG5:AG18">AE5-AD5</f>
        <v>0</v>
      </c>
      <c r="AH5" s="25">
        <f aca="true" t="shared" si="15" ref="AH5:AH19">AE5-AF5</f>
        <v>0</v>
      </c>
      <c r="AI5" s="62">
        <f aca="true" t="shared" si="16" ref="AI5:AI19">E5+H5+J5</f>
        <v>22.406000000000002</v>
      </c>
      <c r="AJ5" s="62">
        <f aca="true" t="shared" si="17" ref="AJ5:AJ18">R5+T5+V5+P5</f>
        <v>22.406</v>
      </c>
      <c r="AK5" s="62">
        <f aca="true" t="shared" si="18" ref="AK5:AK19">X5+Z5+AB5</f>
        <v>22.406000000000002</v>
      </c>
      <c r="AM5" s="18">
        <f t="shared" si="0"/>
        <v>0</v>
      </c>
    </row>
    <row r="6" spans="1:39" s="31" customFormat="1" ht="11.25">
      <c r="A6" s="27">
        <f t="shared" si="1"/>
        <v>3</v>
      </c>
      <c r="B6" s="28" t="s">
        <v>38</v>
      </c>
      <c r="C6" s="29">
        <f>'Jęczydół (3)'!$G$9</f>
        <v>1</v>
      </c>
      <c r="D6" s="30">
        <f>'Jęczydół (3)'!$H$9</f>
        <v>64</v>
      </c>
      <c r="E6" s="63">
        <f t="shared" si="2"/>
        <v>1.088</v>
      </c>
      <c r="F6" s="29">
        <f>'Jęczydół (3)'!$G$10</f>
        <v>2</v>
      </c>
      <c r="G6" s="30">
        <f>'Jęczydół (3)'!$H$10</f>
        <v>36</v>
      </c>
      <c r="H6" s="63">
        <f t="shared" si="3"/>
        <v>0.6120000000000001</v>
      </c>
      <c r="I6" s="29">
        <f>'Jęczydół (3)'!G11</f>
        <v>0</v>
      </c>
      <c r="J6" s="64">
        <f>'Jęczydół (3)'!I11</f>
        <v>0</v>
      </c>
      <c r="K6" s="219">
        <f>SUM('Jęczydół (3)'!J9:J11)</f>
        <v>0</v>
      </c>
      <c r="L6" s="220">
        <f t="shared" si="4"/>
        <v>0</v>
      </c>
      <c r="M6" s="253">
        <f>SUM('Jęczydół (3)'!K9:K11)</f>
        <v>765.58</v>
      </c>
      <c r="N6" s="220">
        <f t="shared" si="5"/>
        <v>13.014860000000002</v>
      </c>
      <c r="O6" s="143">
        <f>SUM('Jęczydół (3)'!L9:L11)</f>
        <v>0</v>
      </c>
      <c r="P6" s="143">
        <f t="shared" si="6"/>
        <v>0</v>
      </c>
      <c r="Q6" s="144">
        <f>SUM('Jęczydół (3)'!M9:M11)</f>
        <v>36</v>
      </c>
      <c r="R6" s="143">
        <f t="shared" si="7"/>
        <v>0.6120000000000001</v>
      </c>
      <c r="S6" s="144">
        <f>SUM('Jęczydół (3)'!N9:N11)</f>
        <v>64</v>
      </c>
      <c r="T6" s="143">
        <f t="shared" si="8"/>
        <v>1.088</v>
      </c>
      <c r="U6" s="144">
        <f>SUM('Jęczydół (3)'!O9:O11)</f>
        <v>0</v>
      </c>
      <c r="V6" s="143">
        <f t="shared" si="9"/>
        <v>0</v>
      </c>
      <c r="W6" s="144">
        <f>'Jęczydół (3)'!$H$12</f>
        <v>100</v>
      </c>
      <c r="X6" s="143">
        <f t="shared" si="10"/>
        <v>1.7000000000000002</v>
      </c>
      <c r="Y6" s="30">
        <v>0</v>
      </c>
      <c r="Z6" s="30">
        <v>0</v>
      </c>
      <c r="AA6" s="30">
        <v>0</v>
      </c>
      <c r="AB6" s="30">
        <v>0</v>
      </c>
      <c r="AC6" s="18">
        <f aca="true" t="shared" si="19" ref="AC6:AC19">C6+F6+I6</f>
        <v>3</v>
      </c>
      <c r="AD6" s="25">
        <f t="shared" si="11"/>
        <v>100</v>
      </c>
      <c r="AE6" s="25">
        <f t="shared" si="12"/>
        <v>100</v>
      </c>
      <c r="AF6" s="25">
        <f t="shared" si="13"/>
        <v>100</v>
      </c>
      <c r="AG6" s="25">
        <f t="shared" si="14"/>
        <v>0</v>
      </c>
      <c r="AH6" s="25">
        <f t="shared" si="15"/>
        <v>0</v>
      </c>
      <c r="AI6" s="62">
        <f t="shared" si="16"/>
        <v>1.7000000000000002</v>
      </c>
      <c r="AJ6" s="62">
        <f t="shared" si="17"/>
        <v>1.7000000000000002</v>
      </c>
      <c r="AK6" s="62">
        <f t="shared" si="18"/>
        <v>1.7000000000000002</v>
      </c>
      <c r="AM6" s="18">
        <f t="shared" si="0"/>
        <v>0</v>
      </c>
    </row>
    <row r="7" spans="1:39" s="31" customFormat="1" ht="11.25">
      <c r="A7" s="27">
        <f t="shared" si="1"/>
        <v>4</v>
      </c>
      <c r="B7" s="28" t="s">
        <v>44</v>
      </c>
      <c r="C7" s="29">
        <f>'Kałęga (4)'!$G$16</f>
        <v>1</v>
      </c>
      <c r="D7" s="30">
        <f>'Kałęga (4)'!$H$16</f>
        <v>120</v>
      </c>
      <c r="E7" s="63">
        <f t="shared" si="2"/>
        <v>2.04</v>
      </c>
      <c r="F7" s="29">
        <f>'Kałęga (4)'!$G$17</f>
        <v>9</v>
      </c>
      <c r="G7" s="30">
        <f>'Kałęga (4)'!$H$17</f>
        <v>595</v>
      </c>
      <c r="H7" s="63">
        <f t="shared" si="3"/>
        <v>10.115</v>
      </c>
      <c r="I7" s="29">
        <f>'Kałęga (4)'!G18</f>
        <v>0</v>
      </c>
      <c r="J7" s="64">
        <f>'Kałęga (4)'!I18</f>
        <v>0</v>
      </c>
      <c r="K7" s="219">
        <f>SUM('Kałęga (4)'!J16:J18)</f>
        <v>0</v>
      </c>
      <c r="L7" s="220">
        <f t="shared" si="4"/>
        <v>0</v>
      </c>
      <c r="M7" s="253">
        <f>SUM('Kałęga (4)'!K16:K18)</f>
        <v>0</v>
      </c>
      <c r="N7" s="220">
        <f t="shared" si="5"/>
        <v>0</v>
      </c>
      <c r="O7" s="143">
        <f>SUM('Kałęga (4)'!L16:L18)</f>
        <v>0</v>
      </c>
      <c r="P7" s="143">
        <f t="shared" si="6"/>
        <v>0</v>
      </c>
      <c r="Q7" s="144">
        <f>SUM('Kałęga (4)'!M16:M18)</f>
        <v>113</v>
      </c>
      <c r="R7" s="143">
        <f t="shared" si="7"/>
        <v>1.921</v>
      </c>
      <c r="S7" s="144">
        <f>SUM('Kałęga (4)'!N16:N18)</f>
        <v>120</v>
      </c>
      <c r="T7" s="143">
        <f t="shared" si="8"/>
        <v>2.04</v>
      </c>
      <c r="U7" s="144">
        <f>SUM('Kałęga (4)'!O16:O18)</f>
        <v>482</v>
      </c>
      <c r="V7" s="143">
        <f t="shared" si="9"/>
        <v>8.194</v>
      </c>
      <c r="W7" s="144">
        <f>'Kałęga (4)'!$H$19</f>
        <v>715</v>
      </c>
      <c r="X7" s="143">
        <f t="shared" si="10"/>
        <v>12.155000000000001</v>
      </c>
      <c r="Y7" s="30">
        <v>0</v>
      </c>
      <c r="Z7" s="30">
        <v>0</v>
      </c>
      <c r="AA7" s="30">
        <v>0</v>
      </c>
      <c r="AB7" s="30">
        <v>0</v>
      </c>
      <c r="AC7" s="18">
        <f t="shared" si="19"/>
        <v>10</v>
      </c>
      <c r="AD7" s="25">
        <f t="shared" si="11"/>
        <v>715</v>
      </c>
      <c r="AE7" s="25">
        <f t="shared" si="12"/>
        <v>715</v>
      </c>
      <c r="AF7" s="25">
        <f t="shared" si="13"/>
        <v>715</v>
      </c>
      <c r="AG7" s="25">
        <f t="shared" si="14"/>
        <v>0</v>
      </c>
      <c r="AH7" s="25">
        <f t="shared" si="15"/>
        <v>0</v>
      </c>
      <c r="AI7" s="62">
        <f t="shared" si="16"/>
        <v>12.155000000000001</v>
      </c>
      <c r="AJ7" s="62">
        <f t="shared" si="17"/>
        <v>12.155000000000001</v>
      </c>
      <c r="AK7" s="62">
        <f t="shared" si="18"/>
        <v>12.155000000000001</v>
      </c>
      <c r="AM7" s="18">
        <f t="shared" si="0"/>
        <v>0</v>
      </c>
    </row>
    <row r="8" spans="1:39" s="33" customFormat="1" ht="11.25">
      <c r="A8" s="27">
        <f t="shared" si="1"/>
        <v>5</v>
      </c>
      <c r="B8" s="28" t="s">
        <v>41</v>
      </c>
      <c r="C8" s="27">
        <f>'Kobylanka (5)'!$G$39</f>
        <v>1</v>
      </c>
      <c r="D8" s="32">
        <f>'Kobylanka (5)'!$H$39</f>
        <v>324</v>
      </c>
      <c r="E8" s="63">
        <f t="shared" si="2"/>
        <v>5.508</v>
      </c>
      <c r="F8" s="27">
        <f>'Kobylanka (5)'!$G$40</f>
        <v>27</v>
      </c>
      <c r="G8" s="32">
        <f>'Kobylanka (5)'!$H$40</f>
        <v>1752</v>
      </c>
      <c r="H8" s="63">
        <f t="shared" si="3"/>
        <v>29.784000000000002</v>
      </c>
      <c r="I8" s="27">
        <f>'Kobylanka (5)'!$G$41</f>
        <v>4</v>
      </c>
      <c r="J8" s="65">
        <f>'Kobylanka (5)'!I41</f>
        <v>5.440000000000001</v>
      </c>
      <c r="K8" s="221">
        <f>SUM('Kobylanka (5)'!J39:J41)</f>
        <v>1433.529</v>
      </c>
      <c r="L8" s="220">
        <f t="shared" si="4"/>
        <v>24.369993</v>
      </c>
      <c r="M8" s="254">
        <f>SUM('Kobylanka (5)'!K39:K41)</f>
        <v>982.33</v>
      </c>
      <c r="N8" s="220">
        <f t="shared" si="5"/>
        <v>16.699610000000003</v>
      </c>
      <c r="O8" s="143">
        <f>SUM('Kobylanka (5)'!L39:L41)</f>
        <v>770</v>
      </c>
      <c r="P8" s="143">
        <f t="shared" si="6"/>
        <v>13.090000000000002</v>
      </c>
      <c r="Q8" s="145">
        <f>SUM('Kobylanka (5)'!M39:M41)</f>
        <v>328</v>
      </c>
      <c r="R8" s="143">
        <f t="shared" si="7"/>
        <v>5.5760000000000005</v>
      </c>
      <c r="S8" s="145">
        <f>SUM('Kobylanka (5)'!N39:N41)</f>
        <v>324</v>
      </c>
      <c r="T8" s="143">
        <f t="shared" si="8"/>
        <v>5.508</v>
      </c>
      <c r="U8" s="145">
        <f>SUM('Kobylanka (5)'!O39:O41)</f>
        <v>974</v>
      </c>
      <c r="V8" s="143">
        <f t="shared" si="9"/>
        <v>16.558</v>
      </c>
      <c r="W8" s="145">
        <f>'Kobylanka (5)'!$H$42</f>
        <v>2396</v>
      </c>
      <c r="X8" s="143">
        <f t="shared" si="10"/>
        <v>40.732000000000006</v>
      </c>
      <c r="Y8" s="32">
        <v>0</v>
      </c>
      <c r="Z8" s="32">
        <v>0</v>
      </c>
      <c r="AA8" s="32">
        <v>0</v>
      </c>
      <c r="AB8" s="32">
        <v>0</v>
      </c>
      <c r="AC8" s="18">
        <f t="shared" si="19"/>
        <v>32</v>
      </c>
      <c r="AD8" s="25">
        <f t="shared" si="11"/>
        <v>2076</v>
      </c>
      <c r="AE8" s="25">
        <f t="shared" si="12"/>
        <v>2396</v>
      </c>
      <c r="AF8" s="25">
        <f t="shared" si="13"/>
        <v>2396</v>
      </c>
      <c r="AG8" s="25">
        <f t="shared" si="14"/>
        <v>320</v>
      </c>
      <c r="AH8" s="25">
        <f t="shared" si="15"/>
        <v>0</v>
      </c>
      <c r="AI8" s="62">
        <f t="shared" si="16"/>
        <v>40.732</v>
      </c>
      <c r="AJ8" s="62">
        <f t="shared" si="17"/>
        <v>40.732</v>
      </c>
      <c r="AK8" s="62">
        <f t="shared" si="18"/>
        <v>40.732000000000006</v>
      </c>
      <c r="AM8" s="18">
        <f t="shared" si="0"/>
        <v>0</v>
      </c>
    </row>
    <row r="9" spans="1:39" ht="12.75" customHeight="1">
      <c r="A9" s="34">
        <f t="shared" si="1"/>
        <v>6</v>
      </c>
      <c r="B9" s="17" t="s">
        <v>22</v>
      </c>
      <c r="C9" s="23">
        <f>' Kunowo (6)'!$G$66</f>
        <v>4</v>
      </c>
      <c r="D9" s="24">
        <f>' Kunowo (6)'!$H$66</f>
        <v>600</v>
      </c>
      <c r="E9" s="63">
        <f t="shared" si="2"/>
        <v>10.200000000000001</v>
      </c>
      <c r="F9" s="23">
        <f>' Kunowo (6)'!$G$67</f>
        <v>53</v>
      </c>
      <c r="G9" s="24">
        <f>' Kunowo (6)'!$H$67</f>
        <v>4883</v>
      </c>
      <c r="H9" s="63">
        <f t="shared" si="3"/>
        <v>83.01100000000001</v>
      </c>
      <c r="I9" s="35">
        <f>' Kunowo (6)'!$G$68</f>
        <v>3</v>
      </c>
      <c r="J9" s="67">
        <f>' Kunowo (6)'!$I$68</f>
        <v>18.700000000000003</v>
      </c>
      <c r="K9" s="219">
        <f>SUM(' Kunowo (6)'!J66:J68)</f>
        <v>1117.059</v>
      </c>
      <c r="L9" s="220">
        <f t="shared" si="4"/>
        <v>18.990003</v>
      </c>
      <c r="M9" s="253">
        <f>SUM(' Kunowo (6)'!K66:K68)</f>
        <v>641.64</v>
      </c>
      <c r="N9" s="220">
        <f t="shared" si="5"/>
        <v>10.90788</v>
      </c>
      <c r="O9" s="143">
        <f>SUM(' Kunowo (6)'!L66:L68)</f>
        <v>1380</v>
      </c>
      <c r="P9" s="143">
        <f t="shared" si="6"/>
        <v>23.46</v>
      </c>
      <c r="Q9" s="144">
        <f>SUM(' Kunowo (6)'!M66:M68)</f>
        <v>569</v>
      </c>
      <c r="R9" s="143">
        <f t="shared" si="7"/>
        <v>9.673</v>
      </c>
      <c r="S9" s="144">
        <f>SUM(' Kunowo (6)'!N66:N68)</f>
        <v>600</v>
      </c>
      <c r="T9" s="143">
        <f t="shared" si="8"/>
        <v>10.200000000000001</v>
      </c>
      <c r="U9" s="144">
        <f>SUM(' Kunowo (6)'!O66:O68)</f>
        <v>4034</v>
      </c>
      <c r="V9" s="143">
        <f t="shared" si="9"/>
        <v>68.578</v>
      </c>
      <c r="W9" s="144">
        <f>' Kunowo (6)'!$H$69</f>
        <v>6583</v>
      </c>
      <c r="X9" s="143">
        <f t="shared" si="10"/>
        <v>111.911</v>
      </c>
      <c r="Y9" s="24">
        <v>0</v>
      </c>
      <c r="Z9" s="24">
        <v>0</v>
      </c>
      <c r="AA9" s="24">
        <v>0</v>
      </c>
      <c r="AB9" s="24">
        <v>0</v>
      </c>
      <c r="AC9" s="18">
        <f t="shared" si="19"/>
        <v>60</v>
      </c>
      <c r="AD9" s="25">
        <f>D9+G9</f>
        <v>5483</v>
      </c>
      <c r="AE9" s="25">
        <f>O9+Q9+S9+U9</f>
        <v>6583</v>
      </c>
      <c r="AF9" s="25">
        <f>W9+Y9+AA9</f>
        <v>6583</v>
      </c>
      <c r="AG9" s="25">
        <f t="shared" si="14"/>
        <v>1100</v>
      </c>
      <c r="AH9" s="25">
        <f t="shared" si="15"/>
        <v>0</v>
      </c>
      <c r="AI9" s="62">
        <f t="shared" si="16"/>
        <v>111.91100000000002</v>
      </c>
      <c r="AJ9" s="62">
        <f t="shared" si="17"/>
        <v>111.911</v>
      </c>
      <c r="AK9" s="62">
        <f t="shared" si="18"/>
        <v>111.911</v>
      </c>
      <c r="AM9" s="18">
        <f t="shared" si="0"/>
        <v>0</v>
      </c>
    </row>
    <row r="10" spans="1:39" ht="11.25">
      <c r="A10" s="34">
        <f t="shared" si="1"/>
        <v>7</v>
      </c>
      <c r="B10" s="17" t="s">
        <v>53</v>
      </c>
      <c r="C10" s="23">
        <f>'Nowa Kobylanka (7)'!G12</f>
        <v>0</v>
      </c>
      <c r="D10" s="24">
        <f>'Nowa Kobylanka (7)'!H12</f>
        <v>0</v>
      </c>
      <c r="E10" s="63">
        <f>D10*0.017</f>
        <v>0</v>
      </c>
      <c r="F10" s="23">
        <f>'Nowa Kobylanka (7)'!$G$13</f>
        <v>6</v>
      </c>
      <c r="G10" s="24">
        <f>'Nowa Kobylanka (7)'!$H$13</f>
        <v>648</v>
      </c>
      <c r="H10" s="63">
        <f t="shared" si="3"/>
        <v>11.016</v>
      </c>
      <c r="I10" s="23">
        <f>'Nowa Kobylanka (7)'!$G$14</f>
        <v>0</v>
      </c>
      <c r="J10" s="63">
        <f>'Nowa Kobylanka (7)'!$I$14</f>
        <v>0</v>
      </c>
      <c r="K10" s="219">
        <f>SUM('Nowa Kobylanka (7)'!J12:J14)</f>
        <v>7.647</v>
      </c>
      <c r="L10" s="220">
        <f t="shared" si="4"/>
        <v>0.129999</v>
      </c>
      <c r="M10" s="253">
        <f>SUM('Nowa Kobylanka (7)'!K12:K14)</f>
        <v>0</v>
      </c>
      <c r="N10" s="220">
        <f t="shared" si="5"/>
        <v>0</v>
      </c>
      <c r="O10" s="143">
        <f>SUM('Nowa Kobylanka (7)'!L12:L14)</f>
        <v>0</v>
      </c>
      <c r="P10" s="143">
        <f t="shared" si="6"/>
        <v>0</v>
      </c>
      <c r="Q10" s="144">
        <f>SUM('Nowa Kobylanka (7)'!M12:M14)</f>
        <v>48</v>
      </c>
      <c r="R10" s="143">
        <f t="shared" si="7"/>
        <v>0.8160000000000001</v>
      </c>
      <c r="S10" s="144">
        <f>SUM('Nowa Kobylanka (7)'!N12:N14)</f>
        <v>0</v>
      </c>
      <c r="T10" s="143">
        <f t="shared" si="8"/>
        <v>0</v>
      </c>
      <c r="U10" s="144">
        <f>SUM('Nowa Kobylanka (7)'!O12:O14)</f>
        <v>600</v>
      </c>
      <c r="V10" s="143">
        <f t="shared" si="9"/>
        <v>10.200000000000001</v>
      </c>
      <c r="W10" s="144">
        <f>'Nowa Kobylanka (7)'!$H$15</f>
        <v>648</v>
      </c>
      <c r="X10" s="143">
        <f t="shared" si="10"/>
        <v>11.016</v>
      </c>
      <c r="Y10" s="24">
        <v>0</v>
      </c>
      <c r="Z10" s="24">
        <v>0</v>
      </c>
      <c r="AA10" s="24">
        <v>0</v>
      </c>
      <c r="AB10" s="24">
        <v>0</v>
      </c>
      <c r="AC10" s="18">
        <f t="shared" si="19"/>
        <v>6</v>
      </c>
      <c r="AD10" s="25">
        <f t="shared" si="11"/>
        <v>648</v>
      </c>
      <c r="AE10" s="25">
        <f t="shared" si="12"/>
        <v>648</v>
      </c>
      <c r="AF10" s="25">
        <f t="shared" si="13"/>
        <v>648</v>
      </c>
      <c r="AG10" s="25">
        <f t="shared" si="14"/>
        <v>0</v>
      </c>
      <c r="AH10" s="25">
        <f t="shared" si="15"/>
        <v>0</v>
      </c>
      <c r="AI10" s="62">
        <f t="shared" si="16"/>
        <v>11.016</v>
      </c>
      <c r="AJ10" s="62">
        <f t="shared" si="17"/>
        <v>11.016000000000002</v>
      </c>
      <c r="AK10" s="62">
        <f t="shared" si="18"/>
        <v>11.016</v>
      </c>
      <c r="AM10" s="18">
        <f t="shared" si="0"/>
        <v>0</v>
      </c>
    </row>
    <row r="11" spans="1:39" ht="11.25">
      <c r="A11" s="34">
        <f t="shared" si="1"/>
        <v>8</v>
      </c>
      <c r="B11" s="17" t="s">
        <v>35</v>
      </c>
      <c r="C11" s="23">
        <f>'Niedźwiedź (8)'!G20</f>
        <v>0</v>
      </c>
      <c r="D11" s="24">
        <f>'Niedźwiedź (8)'!H20</f>
        <v>0</v>
      </c>
      <c r="E11" s="63">
        <f t="shared" si="2"/>
        <v>0</v>
      </c>
      <c r="F11" s="23">
        <f>'Niedźwiedź (8)'!$G$21</f>
        <v>13</v>
      </c>
      <c r="G11" s="24">
        <f>'Niedźwiedź (8)'!$H$21</f>
        <v>1298</v>
      </c>
      <c r="H11" s="63">
        <f t="shared" si="3"/>
        <v>22.066000000000003</v>
      </c>
      <c r="I11" s="23">
        <f>'Niedźwiedź (8)'!$G$22</f>
        <v>1</v>
      </c>
      <c r="J11" s="63">
        <f>'Niedźwiedź (8)'!$I$22</f>
        <v>1.1900000000000002</v>
      </c>
      <c r="K11" s="219">
        <f>SUM('Niedźwiedź (8)'!J20:J22)</f>
        <v>1207.059</v>
      </c>
      <c r="L11" s="220">
        <f t="shared" si="4"/>
        <v>20.520003000000003</v>
      </c>
      <c r="M11" s="253">
        <f>SUM('Niedźwiedź (8)'!K20:K22)</f>
        <v>228.8</v>
      </c>
      <c r="N11" s="220">
        <f t="shared" si="5"/>
        <v>3.8896000000000006</v>
      </c>
      <c r="O11" s="143">
        <f>SUM('Niedźwiedź (8)'!L20:L22)</f>
        <v>70</v>
      </c>
      <c r="P11" s="143">
        <f t="shared" si="6"/>
        <v>1.1900000000000002</v>
      </c>
      <c r="Q11" s="144">
        <f>SUM('Niedźwiedź (8)'!M20:M22)</f>
        <v>138</v>
      </c>
      <c r="R11" s="143">
        <f t="shared" si="7"/>
        <v>2.346</v>
      </c>
      <c r="S11" s="144">
        <f>SUM('Niedźwiedź (8)'!N20:N22)</f>
        <v>0</v>
      </c>
      <c r="T11" s="143">
        <f t="shared" si="8"/>
        <v>0</v>
      </c>
      <c r="U11" s="144">
        <f>SUM('Niedźwiedź (8)'!O20:O22)</f>
        <v>1160</v>
      </c>
      <c r="V11" s="143">
        <f t="shared" si="9"/>
        <v>19.720000000000002</v>
      </c>
      <c r="W11" s="144">
        <f>'Niedźwiedź (8)'!$H$23</f>
        <v>1368</v>
      </c>
      <c r="X11" s="143">
        <f t="shared" si="10"/>
        <v>23.256</v>
      </c>
      <c r="Y11" s="24">
        <v>0</v>
      </c>
      <c r="Z11" s="24">
        <v>0</v>
      </c>
      <c r="AA11" s="24">
        <v>0</v>
      </c>
      <c r="AB11" s="24">
        <v>0</v>
      </c>
      <c r="AC11" s="18">
        <f t="shared" si="19"/>
        <v>14</v>
      </c>
      <c r="AD11" s="25">
        <f t="shared" si="11"/>
        <v>1298</v>
      </c>
      <c r="AE11" s="25">
        <f t="shared" si="12"/>
        <v>1368</v>
      </c>
      <c r="AF11" s="25">
        <f t="shared" si="13"/>
        <v>1368</v>
      </c>
      <c r="AG11" s="25">
        <f t="shared" si="14"/>
        <v>70</v>
      </c>
      <c r="AH11" s="25">
        <f t="shared" si="15"/>
        <v>0</v>
      </c>
      <c r="AI11" s="62">
        <f t="shared" si="16"/>
        <v>23.256000000000004</v>
      </c>
      <c r="AJ11" s="62">
        <f t="shared" si="17"/>
        <v>23.256000000000004</v>
      </c>
      <c r="AK11" s="62">
        <f t="shared" si="18"/>
        <v>23.256</v>
      </c>
      <c r="AM11" s="18">
        <f t="shared" si="0"/>
        <v>0</v>
      </c>
    </row>
    <row r="12" spans="1:39" s="31" customFormat="1" ht="11.25">
      <c r="A12" s="27">
        <f t="shared" si="1"/>
        <v>9</v>
      </c>
      <c r="B12" s="28" t="s">
        <v>174</v>
      </c>
      <c r="C12" s="29">
        <f>'Morawsko (9)'!G7</f>
        <v>0</v>
      </c>
      <c r="D12" s="30">
        <f>'Morawsko (9)'!H7</f>
        <v>0</v>
      </c>
      <c r="E12" s="63">
        <f t="shared" si="2"/>
        <v>0</v>
      </c>
      <c r="F12" s="29">
        <f>'Morawsko (9)'!$G$8</f>
        <v>1</v>
      </c>
      <c r="G12" s="30">
        <f>'Morawsko (9)'!$H$8</f>
        <v>186</v>
      </c>
      <c r="H12" s="63">
        <f t="shared" si="3"/>
        <v>3.1620000000000004</v>
      </c>
      <c r="I12" s="29">
        <f>'Morawsko (9)'!G9</f>
        <v>0</v>
      </c>
      <c r="J12" s="64">
        <f>'Morawsko (9)'!I9</f>
        <v>0</v>
      </c>
      <c r="K12" s="219">
        <f>SUM('Morawsko (9)'!J7:J9)</f>
        <v>0</v>
      </c>
      <c r="L12" s="220">
        <f t="shared" si="4"/>
        <v>0</v>
      </c>
      <c r="M12" s="253">
        <f>SUM('Morawsko (9)'!K7:K9)</f>
        <v>0</v>
      </c>
      <c r="N12" s="220">
        <f t="shared" si="5"/>
        <v>0</v>
      </c>
      <c r="O12" s="143">
        <f>SUM('Morawsko (9)'!L7:L9)</f>
        <v>0</v>
      </c>
      <c r="P12" s="143">
        <f t="shared" si="6"/>
        <v>0</v>
      </c>
      <c r="Q12" s="144">
        <f>SUM('Morawsko (9)'!M7:M9)</f>
        <v>0</v>
      </c>
      <c r="R12" s="143">
        <f t="shared" si="7"/>
        <v>0</v>
      </c>
      <c r="S12" s="144">
        <f>SUM('Morawsko (9)'!N7:N9)</f>
        <v>186</v>
      </c>
      <c r="T12" s="143">
        <f t="shared" si="8"/>
        <v>3.1620000000000004</v>
      </c>
      <c r="U12" s="144">
        <f>SUM('Morawsko (9)'!O7:O9)</f>
        <v>0</v>
      </c>
      <c r="V12" s="143">
        <f t="shared" si="9"/>
        <v>0</v>
      </c>
      <c r="W12" s="144">
        <f>'Morawsko (9)'!$H$10</f>
        <v>186</v>
      </c>
      <c r="X12" s="143">
        <f t="shared" si="10"/>
        <v>3.1620000000000004</v>
      </c>
      <c r="Y12" s="30">
        <v>0</v>
      </c>
      <c r="Z12" s="30">
        <v>0</v>
      </c>
      <c r="AA12" s="30">
        <v>0</v>
      </c>
      <c r="AB12" s="30">
        <v>0</v>
      </c>
      <c r="AC12" s="18">
        <f t="shared" si="19"/>
        <v>1</v>
      </c>
      <c r="AD12" s="25">
        <f t="shared" si="11"/>
        <v>186</v>
      </c>
      <c r="AE12" s="25">
        <f t="shared" si="12"/>
        <v>186</v>
      </c>
      <c r="AF12" s="25">
        <f t="shared" si="13"/>
        <v>186</v>
      </c>
      <c r="AG12" s="25">
        <f t="shared" si="14"/>
        <v>0</v>
      </c>
      <c r="AH12" s="25">
        <f t="shared" si="15"/>
        <v>0</v>
      </c>
      <c r="AI12" s="62">
        <f t="shared" si="16"/>
        <v>3.1620000000000004</v>
      </c>
      <c r="AJ12" s="62">
        <f t="shared" si="17"/>
        <v>3.1620000000000004</v>
      </c>
      <c r="AK12" s="62">
        <f t="shared" si="18"/>
        <v>3.1620000000000004</v>
      </c>
      <c r="AM12" s="18">
        <f t="shared" si="0"/>
        <v>0</v>
      </c>
    </row>
    <row r="13" spans="1:39" ht="11.25">
      <c r="A13" s="34">
        <f t="shared" si="1"/>
        <v>10</v>
      </c>
      <c r="B13" s="17" t="s">
        <v>40</v>
      </c>
      <c r="C13" s="23">
        <f>'Morzyczyn (10)'!G20</f>
        <v>0</v>
      </c>
      <c r="D13" s="24">
        <f>'Morzyczyn (10)'!H20</f>
        <v>0</v>
      </c>
      <c r="E13" s="63">
        <f t="shared" si="2"/>
        <v>0</v>
      </c>
      <c r="F13" s="23">
        <f>'Morzyczyn (10)'!$G$21</f>
        <v>10</v>
      </c>
      <c r="G13" s="24">
        <f>'Morzyczyn (10)'!$H$21</f>
        <v>983</v>
      </c>
      <c r="H13" s="63">
        <f t="shared" si="3"/>
        <v>16.711000000000002</v>
      </c>
      <c r="I13" s="23">
        <f>'Morzyczyn (10)'!$G$22</f>
        <v>3</v>
      </c>
      <c r="J13" s="63">
        <f>'Morzyczyn (10)'!$I$22</f>
        <v>7.565</v>
      </c>
      <c r="K13" s="219">
        <f>SUM('Morzyczyn (10)'!J20:J22)</f>
        <v>1128.235</v>
      </c>
      <c r="L13" s="220">
        <f t="shared" si="4"/>
        <v>19.179994999999998</v>
      </c>
      <c r="M13" s="253">
        <f>SUM('Morzyczyn (10)'!K20:K22)</f>
        <v>479.55</v>
      </c>
      <c r="N13" s="220">
        <f t="shared" si="5"/>
        <v>8.15235</v>
      </c>
      <c r="O13" s="143">
        <f>SUM('Morzyczyn (10)'!L20:L22)</f>
        <v>445</v>
      </c>
      <c r="P13" s="143">
        <f t="shared" si="6"/>
        <v>7.565</v>
      </c>
      <c r="Q13" s="144">
        <f>SUM('Morzyczyn (10)'!M20:M22)</f>
        <v>163</v>
      </c>
      <c r="R13" s="143">
        <f t="shared" si="7"/>
        <v>2.7710000000000004</v>
      </c>
      <c r="S13" s="144">
        <f>SUM('Morzyczyn (10)'!N20:N22)</f>
        <v>0</v>
      </c>
      <c r="T13" s="143">
        <f t="shared" si="8"/>
        <v>0</v>
      </c>
      <c r="U13" s="144">
        <f>SUM('Morzyczyn (10)'!O20:O22)</f>
        <v>820</v>
      </c>
      <c r="V13" s="143">
        <f t="shared" si="9"/>
        <v>13.940000000000001</v>
      </c>
      <c r="W13" s="144">
        <f>'Morzyczyn (10)'!H23</f>
        <v>1383</v>
      </c>
      <c r="X13" s="143">
        <f t="shared" si="10"/>
        <v>23.511000000000003</v>
      </c>
      <c r="Y13" s="24">
        <f>'Morzyczyn (10)'!H24</f>
        <v>30</v>
      </c>
      <c r="Z13" s="63">
        <f>'Morzyczyn (10)'!I24</f>
        <v>0.51</v>
      </c>
      <c r="AA13" s="24">
        <f>'Morzyczyn (10)'!H25</f>
        <v>15</v>
      </c>
      <c r="AB13" s="63">
        <f>'Morzyczyn (10)'!I25</f>
        <v>0.255</v>
      </c>
      <c r="AC13" s="18">
        <f t="shared" si="19"/>
        <v>13</v>
      </c>
      <c r="AD13" s="25">
        <f t="shared" si="11"/>
        <v>983</v>
      </c>
      <c r="AE13" s="25">
        <f t="shared" si="12"/>
        <v>1428</v>
      </c>
      <c r="AF13" s="25">
        <f t="shared" si="13"/>
        <v>1428</v>
      </c>
      <c r="AG13" s="25">
        <f t="shared" si="14"/>
        <v>445</v>
      </c>
      <c r="AH13" s="25">
        <f t="shared" si="15"/>
        <v>0</v>
      </c>
      <c r="AI13" s="62">
        <f t="shared" si="16"/>
        <v>24.276000000000003</v>
      </c>
      <c r="AJ13" s="62">
        <f t="shared" si="17"/>
        <v>24.276000000000003</v>
      </c>
      <c r="AK13" s="62">
        <f>X13+Z13+AB13</f>
        <v>24.276000000000003</v>
      </c>
      <c r="AM13" s="18">
        <f>W13+Y13+AA13-D13-G13-J13/0.017</f>
        <v>0</v>
      </c>
    </row>
    <row r="14" spans="1:39" ht="11.25">
      <c r="A14" s="34">
        <f t="shared" si="1"/>
        <v>11</v>
      </c>
      <c r="B14" s="17" t="s">
        <v>36</v>
      </c>
      <c r="C14" s="23">
        <f>'Motaniec(11)'!G29</f>
        <v>0</v>
      </c>
      <c r="D14" s="24">
        <f>'Motaniec(11)'!H29</f>
        <v>0</v>
      </c>
      <c r="E14" s="63">
        <f t="shared" si="2"/>
        <v>0</v>
      </c>
      <c r="F14" s="23">
        <f>'Motaniec(11)'!$G$30</f>
        <v>23</v>
      </c>
      <c r="G14" s="24">
        <f>'Motaniec(11)'!$H$30</f>
        <v>3796</v>
      </c>
      <c r="H14" s="63">
        <f t="shared" si="3"/>
        <v>64.53200000000001</v>
      </c>
      <c r="I14" s="23">
        <f>'Motaniec(11)'!G31</f>
        <v>0</v>
      </c>
      <c r="J14" s="63">
        <f>'Motaniec(11)'!I31</f>
        <v>0</v>
      </c>
      <c r="K14" s="219">
        <f>SUM('Motaniec(11)'!J29:J31)</f>
        <v>115.294</v>
      </c>
      <c r="L14" s="220">
        <f t="shared" si="4"/>
        <v>1.9599980000000001</v>
      </c>
      <c r="M14" s="253">
        <f>SUM('Motaniec(11)'!K29:K31)</f>
        <v>1326.15</v>
      </c>
      <c r="N14" s="220">
        <f t="shared" si="5"/>
        <v>22.544550000000005</v>
      </c>
      <c r="O14" s="143">
        <f>SUM('Motaniec(11)'!L29:L31)</f>
        <v>0</v>
      </c>
      <c r="P14" s="143">
        <f t="shared" si="6"/>
        <v>0</v>
      </c>
      <c r="Q14" s="144">
        <f>SUM('Motaniec(11)'!M29:M31)</f>
        <v>281</v>
      </c>
      <c r="R14" s="143">
        <f t="shared" si="7"/>
        <v>4.777</v>
      </c>
      <c r="S14" s="144">
        <f>SUM('Motaniec(11)'!N29:N31)</f>
        <v>0</v>
      </c>
      <c r="T14" s="143">
        <f t="shared" si="8"/>
        <v>0</v>
      </c>
      <c r="U14" s="144">
        <f>SUM('Motaniec(11)'!O29:O31)</f>
        <v>3515</v>
      </c>
      <c r="V14" s="143">
        <f t="shared" si="9"/>
        <v>59.755</v>
      </c>
      <c r="W14" s="144">
        <f>'Motaniec(11)'!$H$32</f>
        <v>3796</v>
      </c>
      <c r="X14" s="143">
        <f t="shared" si="10"/>
        <v>64.53200000000001</v>
      </c>
      <c r="Y14" s="24">
        <v>0</v>
      </c>
      <c r="Z14" s="24">
        <v>0</v>
      </c>
      <c r="AA14" s="24">
        <v>0</v>
      </c>
      <c r="AB14" s="30">
        <v>0</v>
      </c>
      <c r="AC14" s="18">
        <f t="shared" si="19"/>
        <v>23</v>
      </c>
      <c r="AD14" s="25">
        <f t="shared" si="11"/>
        <v>3796</v>
      </c>
      <c r="AE14" s="25">
        <f t="shared" si="12"/>
        <v>3796</v>
      </c>
      <c r="AF14" s="25">
        <f t="shared" si="13"/>
        <v>3796</v>
      </c>
      <c r="AG14" s="25">
        <f t="shared" si="14"/>
        <v>0</v>
      </c>
      <c r="AH14" s="25">
        <f t="shared" si="15"/>
        <v>0</v>
      </c>
      <c r="AI14" s="62">
        <f t="shared" si="16"/>
        <v>64.53200000000001</v>
      </c>
      <c r="AJ14" s="62">
        <f t="shared" si="17"/>
        <v>64.532</v>
      </c>
      <c r="AK14" s="62">
        <f t="shared" si="18"/>
        <v>64.53200000000001</v>
      </c>
      <c r="AM14" s="18">
        <f>W14+Y14-D14-G14-J14/0.017</f>
        <v>0</v>
      </c>
    </row>
    <row r="15" spans="1:39" s="31" customFormat="1" ht="11.25">
      <c r="A15" s="27">
        <f t="shared" si="1"/>
        <v>12</v>
      </c>
      <c r="B15" s="28" t="s">
        <v>37</v>
      </c>
      <c r="C15" s="29">
        <f>'Rekowo(12)'!G20</f>
        <v>0</v>
      </c>
      <c r="D15" s="30">
        <f>'Rekowo(12)'!H20</f>
        <v>0</v>
      </c>
      <c r="E15" s="63">
        <f t="shared" si="2"/>
        <v>0</v>
      </c>
      <c r="F15" s="29">
        <f>'Rekowo(12)'!$G$21</f>
        <v>14</v>
      </c>
      <c r="G15" s="30">
        <f>'Rekowo(12)'!$H$21</f>
        <v>1044</v>
      </c>
      <c r="H15" s="63">
        <f t="shared" si="3"/>
        <v>17.748</v>
      </c>
      <c r="I15" s="29">
        <f>'Rekowo(12)'!$G$22</f>
        <v>0</v>
      </c>
      <c r="J15" s="64">
        <f>'Rekowo(12)'!$I$22</f>
        <v>0</v>
      </c>
      <c r="K15" s="219">
        <f>SUM('Rekowo(12)'!J20:J22)</f>
        <v>198.823</v>
      </c>
      <c r="L15" s="220">
        <f t="shared" si="4"/>
        <v>3.3799910000000004</v>
      </c>
      <c r="M15" s="253">
        <f>SUM('Rekowo(12)'!K20:K22)</f>
        <v>0</v>
      </c>
      <c r="N15" s="220">
        <f t="shared" si="5"/>
        <v>0</v>
      </c>
      <c r="O15" s="143">
        <f>SUM('Rekowo(12)'!L20:L22)</f>
        <v>0</v>
      </c>
      <c r="P15" s="143">
        <f t="shared" si="6"/>
        <v>0</v>
      </c>
      <c r="Q15" s="144">
        <f>SUM('Rekowo(12)'!M20:M22)</f>
        <v>171</v>
      </c>
      <c r="R15" s="143">
        <f t="shared" si="7"/>
        <v>2.907</v>
      </c>
      <c r="S15" s="144">
        <f>SUM('Rekowo(12)'!N20:N22)</f>
        <v>0</v>
      </c>
      <c r="T15" s="143">
        <f t="shared" si="8"/>
        <v>0</v>
      </c>
      <c r="U15" s="144">
        <f>SUM('Rekowo(12)'!O20:O22)</f>
        <v>873</v>
      </c>
      <c r="V15" s="143">
        <f t="shared" si="9"/>
        <v>14.841000000000001</v>
      </c>
      <c r="W15" s="144">
        <f>'Rekowo(12)'!$H$23</f>
        <v>1044</v>
      </c>
      <c r="X15" s="143">
        <f t="shared" si="10"/>
        <v>17.748</v>
      </c>
      <c r="Y15" s="30">
        <v>0</v>
      </c>
      <c r="Z15" s="30">
        <v>0</v>
      </c>
      <c r="AA15" s="30">
        <v>0</v>
      </c>
      <c r="AB15" s="30">
        <v>0</v>
      </c>
      <c r="AC15" s="18">
        <f t="shared" si="19"/>
        <v>14</v>
      </c>
      <c r="AD15" s="25">
        <f t="shared" si="11"/>
        <v>1044</v>
      </c>
      <c r="AE15" s="25">
        <f t="shared" si="12"/>
        <v>1044</v>
      </c>
      <c r="AF15" s="25">
        <f t="shared" si="13"/>
        <v>1044</v>
      </c>
      <c r="AG15" s="25">
        <f t="shared" si="14"/>
        <v>0</v>
      </c>
      <c r="AH15" s="25">
        <f t="shared" si="15"/>
        <v>0</v>
      </c>
      <c r="AI15" s="62">
        <f t="shared" si="16"/>
        <v>17.748</v>
      </c>
      <c r="AJ15" s="62">
        <f t="shared" si="17"/>
        <v>17.748</v>
      </c>
      <c r="AK15" s="62">
        <f t="shared" si="18"/>
        <v>17.748</v>
      </c>
      <c r="AM15" s="18">
        <f>W15+Y15-D15-G15-J15/0.017</f>
        <v>0</v>
      </c>
    </row>
    <row r="16" spans="1:39" ht="12.75" customHeight="1">
      <c r="A16" s="34">
        <f t="shared" si="1"/>
        <v>13</v>
      </c>
      <c r="B16" s="17" t="s">
        <v>30</v>
      </c>
      <c r="C16" s="23">
        <f>'Reptowo (13)'!$G$56</f>
        <v>5</v>
      </c>
      <c r="D16" s="24">
        <f>'Reptowo (13)'!$H$56</f>
        <v>522</v>
      </c>
      <c r="E16" s="63">
        <f t="shared" si="2"/>
        <v>8.874</v>
      </c>
      <c r="F16" s="23">
        <f>'Reptowo (13)'!$G$57</f>
        <v>43</v>
      </c>
      <c r="G16" s="24">
        <f>'Reptowo (13)'!$H$57</f>
        <v>3541</v>
      </c>
      <c r="H16" s="63">
        <f t="shared" si="3"/>
        <v>60.197</v>
      </c>
      <c r="I16" s="23">
        <f>'Reptowo (13)'!$G$58</f>
        <v>2</v>
      </c>
      <c r="J16" s="63">
        <f>'Reptowo (13)'!I58</f>
        <v>3.5700000000000003</v>
      </c>
      <c r="K16" s="219">
        <f>SUM('Reptowo (13)'!J56:J58)</f>
        <v>822.353</v>
      </c>
      <c r="L16" s="220">
        <f t="shared" si="4"/>
        <v>13.980001</v>
      </c>
      <c r="M16" s="253">
        <f>SUM('Reptowo (13)'!K56:K58)</f>
        <v>2365.72</v>
      </c>
      <c r="N16" s="220">
        <f t="shared" si="5"/>
        <v>40.21724</v>
      </c>
      <c r="O16" s="143">
        <f>SUM('Reptowo (13)'!L56:L58)</f>
        <v>318</v>
      </c>
      <c r="P16" s="143">
        <f t="shared" si="6"/>
        <v>5.406000000000001</v>
      </c>
      <c r="Q16" s="144">
        <f>SUM('Reptowo (13)'!M56:M58)</f>
        <v>673</v>
      </c>
      <c r="R16" s="143">
        <f t="shared" si="7"/>
        <v>11.441</v>
      </c>
      <c r="S16" s="144">
        <f>SUM('Reptowo (13)'!N56:N58)</f>
        <v>474</v>
      </c>
      <c r="T16" s="143">
        <f t="shared" si="8"/>
        <v>8.058</v>
      </c>
      <c r="U16" s="144">
        <f>SUM('Reptowo (13)'!O56:O58)</f>
        <v>2808</v>
      </c>
      <c r="V16" s="143">
        <f t="shared" si="9"/>
        <v>47.736000000000004</v>
      </c>
      <c r="W16" s="144">
        <f>'Reptowo (13)'!$H$59</f>
        <v>4273</v>
      </c>
      <c r="X16" s="143">
        <f t="shared" si="10"/>
        <v>72.641</v>
      </c>
      <c r="Y16" s="24">
        <v>0</v>
      </c>
      <c r="Z16" s="24">
        <v>0</v>
      </c>
      <c r="AA16" s="24">
        <v>0</v>
      </c>
      <c r="AB16" s="30">
        <v>0</v>
      </c>
      <c r="AC16" s="18">
        <f t="shared" si="19"/>
        <v>50</v>
      </c>
      <c r="AD16" s="25">
        <f t="shared" si="11"/>
        <v>4063</v>
      </c>
      <c r="AE16" s="25">
        <f t="shared" si="12"/>
        <v>4273</v>
      </c>
      <c r="AF16" s="25">
        <f t="shared" si="13"/>
        <v>4273</v>
      </c>
      <c r="AG16" s="25">
        <f t="shared" si="14"/>
        <v>210</v>
      </c>
      <c r="AH16" s="25">
        <f t="shared" si="15"/>
        <v>0</v>
      </c>
      <c r="AI16" s="62">
        <f t="shared" si="16"/>
        <v>72.64099999999999</v>
      </c>
      <c r="AJ16" s="62">
        <f t="shared" si="17"/>
        <v>72.64100000000002</v>
      </c>
      <c r="AK16" s="62">
        <f t="shared" si="18"/>
        <v>72.641</v>
      </c>
      <c r="AM16" s="18">
        <f>W16+Y16-D16-G16-J16/0.017</f>
        <v>0</v>
      </c>
    </row>
    <row r="17" spans="1:39" s="31" customFormat="1" ht="12.75" customHeight="1">
      <c r="A17" s="27">
        <f t="shared" si="1"/>
        <v>14</v>
      </c>
      <c r="B17" s="17" t="s">
        <v>39</v>
      </c>
      <c r="C17" s="42">
        <f>'Zieleniewo (14)'!$G$16</f>
        <v>1</v>
      </c>
      <c r="D17" s="30">
        <f>'Zieleniewo (14)'!$H$16</f>
        <v>100</v>
      </c>
      <c r="E17" s="63">
        <f t="shared" si="2"/>
        <v>1.7000000000000002</v>
      </c>
      <c r="F17" s="29">
        <f>'Zieleniewo (14)'!$G$17</f>
        <v>8</v>
      </c>
      <c r="G17" s="30">
        <f>'Zieleniewo (14)'!H17</f>
        <v>848</v>
      </c>
      <c r="H17" s="63">
        <f t="shared" si="3"/>
        <v>14.416</v>
      </c>
      <c r="I17" s="29">
        <f>'Zieleniewo (14)'!G18</f>
        <v>1</v>
      </c>
      <c r="J17" s="64">
        <f>'Zieleniewo (14)'!I18</f>
        <v>1.105</v>
      </c>
      <c r="K17" s="219">
        <f>SUM('Zieleniewo (14)'!J16:J18)</f>
        <v>325.294</v>
      </c>
      <c r="L17" s="220">
        <f t="shared" si="4"/>
        <v>5.529998</v>
      </c>
      <c r="M17" s="253">
        <f>SUM('Zieleniewo (14)'!K16:K18)</f>
        <v>43.91</v>
      </c>
      <c r="N17" s="220">
        <f t="shared" si="5"/>
        <v>0.74647</v>
      </c>
      <c r="O17" s="143">
        <f>SUM('Zieleniewo (14)'!L16:L18)</f>
        <v>65</v>
      </c>
      <c r="P17" s="143">
        <f>O17*0.017</f>
        <v>1.105</v>
      </c>
      <c r="Q17" s="144">
        <f>SUM('Zieleniewo (14)'!M16:M18)</f>
        <v>138</v>
      </c>
      <c r="R17" s="143">
        <f t="shared" si="7"/>
        <v>2.346</v>
      </c>
      <c r="S17" s="144">
        <f>SUM('Zieleniewo (14)'!N16:N18)</f>
        <v>100</v>
      </c>
      <c r="T17" s="143">
        <f t="shared" si="8"/>
        <v>1.7000000000000002</v>
      </c>
      <c r="U17" s="144">
        <f>SUM('Zieleniewo (14)'!O16:O18)</f>
        <v>710</v>
      </c>
      <c r="V17" s="143">
        <f t="shared" si="9"/>
        <v>12.07</v>
      </c>
      <c r="W17" s="144">
        <f>'Zieleniewo (14)'!$H$19</f>
        <v>1013</v>
      </c>
      <c r="X17" s="143">
        <f t="shared" si="10"/>
        <v>17.221</v>
      </c>
      <c r="Y17" s="30">
        <v>0</v>
      </c>
      <c r="Z17" s="30">
        <v>0</v>
      </c>
      <c r="AA17" s="30">
        <v>0</v>
      </c>
      <c r="AB17" s="30">
        <v>0</v>
      </c>
      <c r="AC17" s="18">
        <f t="shared" si="19"/>
        <v>10</v>
      </c>
      <c r="AD17" s="25">
        <f t="shared" si="11"/>
        <v>948</v>
      </c>
      <c r="AE17" s="25">
        <f t="shared" si="12"/>
        <v>1013</v>
      </c>
      <c r="AF17" s="25">
        <f t="shared" si="13"/>
        <v>1013</v>
      </c>
      <c r="AG17" s="25">
        <f t="shared" si="14"/>
        <v>65</v>
      </c>
      <c r="AH17" s="25">
        <f t="shared" si="15"/>
        <v>0</v>
      </c>
      <c r="AI17" s="62">
        <f t="shared" si="16"/>
        <v>17.221</v>
      </c>
      <c r="AJ17" s="62">
        <f t="shared" si="17"/>
        <v>17.221</v>
      </c>
      <c r="AK17" s="62">
        <f t="shared" si="18"/>
        <v>17.221</v>
      </c>
      <c r="AM17" s="18">
        <f>W17+Y17-D17-G17-J17/0.017</f>
        <v>0</v>
      </c>
    </row>
    <row r="18" spans="1:39" ht="11.25">
      <c r="A18" s="34">
        <f t="shared" si="1"/>
        <v>15</v>
      </c>
      <c r="B18" s="28" t="s">
        <v>80</v>
      </c>
      <c r="C18" s="23">
        <v>0</v>
      </c>
      <c r="D18" s="24">
        <v>0</v>
      </c>
      <c r="E18" s="63">
        <f t="shared" si="2"/>
        <v>0</v>
      </c>
      <c r="F18" s="23">
        <v>0</v>
      </c>
      <c r="G18" s="24">
        <v>0</v>
      </c>
      <c r="H18" s="63">
        <f t="shared" si="3"/>
        <v>0</v>
      </c>
      <c r="I18" s="23">
        <v>0</v>
      </c>
      <c r="J18" s="63">
        <v>0</v>
      </c>
      <c r="K18" s="219">
        <v>0</v>
      </c>
      <c r="L18" s="220">
        <f t="shared" si="4"/>
        <v>0</v>
      </c>
      <c r="M18" s="253">
        <v>0</v>
      </c>
      <c r="N18" s="220">
        <f t="shared" si="5"/>
        <v>0</v>
      </c>
      <c r="O18" s="143">
        <v>0</v>
      </c>
      <c r="P18" s="143">
        <f t="shared" si="6"/>
        <v>0</v>
      </c>
      <c r="Q18" s="144">
        <v>0</v>
      </c>
      <c r="R18" s="143">
        <f t="shared" si="7"/>
        <v>0</v>
      </c>
      <c r="S18" s="144">
        <v>0</v>
      </c>
      <c r="T18" s="143">
        <f t="shared" si="8"/>
        <v>0</v>
      </c>
      <c r="U18" s="144">
        <v>0</v>
      </c>
      <c r="V18" s="143">
        <f t="shared" si="9"/>
        <v>0</v>
      </c>
      <c r="W18" s="144">
        <v>0</v>
      </c>
      <c r="X18" s="143">
        <f t="shared" si="10"/>
        <v>0</v>
      </c>
      <c r="Y18" s="24">
        <v>0</v>
      </c>
      <c r="Z18" s="24">
        <v>0</v>
      </c>
      <c r="AA18" s="24">
        <v>0</v>
      </c>
      <c r="AB18" s="30">
        <v>0</v>
      </c>
      <c r="AC18" s="18">
        <f t="shared" si="19"/>
        <v>0</v>
      </c>
      <c r="AD18" s="25">
        <f t="shared" si="11"/>
        <v>0</v>
      </c>
      <c r="AE18" s="25">
        <f t="shared" si="12"/>
        <v>0</v>
      </c>
      <c r="AF18" s="25">
        <f t="shared" si="13"/>
        <v>0</v>
      </c>
      <c r="AG18" s="25">
        <f t="shared" si="14"/>
        <v>0</v>
      </c>
      <c r="AH18" s="25">
        <f t="shared" si="15"/>
        <v>0</v>
      </c>
      <c r="AI18" s="62">
        <f t="shared" si="16"/>
        <v>0</v>
      </c>
      <c r="AJ18" s="62">
        <f t="shared" si="17"/>
        <v>0</v>
      </c>
      <c r="AK18" s="62">
        <f t="shared" si="18"/>
        <v>0</v>
      </c>
      <c r="AM18" s="18">
        <f>W18+Y18-D18-G18-J18/0.017</f>
        <v>0</v>
      </c>
    </row>
    <row r="19" spans="1:37" s="46" customFormat="1" ht="11.25">
      <c r="A19" s="53">
        <v>16</v>
      </c>
      <c r="B19" s="43" t="s">
        <v>11</v>
      </c>
      <c r="C19" s="44">
        <f aca="true" t="shared" si="20" ref="C19:AB19">SUM(C4:C18)</f>
        <v>18</v>
      </c>
      <c r="D19" s="45">
        <f t="shared" si="20"/>
        <v>2214</v>
      </c>
      <c r="E19" s="66">
        <f t="shared" si="20"/>
        <v>37.638000000000005</v>
      </c>
      <c r="F19" s="44">
        <f t="shared" si="20"/>
        <v>236</v>
      </c>
      <c r="G19" s="45">
        <f t="shared" si="20"/>
        <v>23147</v>
      </c>
      <c r="H19" s="66">
        <f t="shared" si="20"/>
        <v>393.499</v>
      </c>
      <c r="I19" s="44">
        <f t="shared" si="20"/>
        <v>17</v>
      </c>
      <c r="J19" s="66">
        <f t="shared" si="20"/>
        <v>40.970000000000006</v>
      </c>
      <c r="K19" s="222">
        <f t="shared" si="20"/>
        <v>7182.94</v>
      </c>
      <c r="L19" s="223">
        <f t="shared" si="20"/>
        <v>122.10998000000002</v>
      </c>
      <c r="M19" s="255">
        <f t="shared" si="20"/>
        <v>7522.98</v>
      </c>
      <c r="N19" s="256">
        <f t="shared" si="20"/>
        <v>127.89066000000001</v>
      </c>
      <c r="O19" s="146">
        <f t="shared" si="20"/>
        <v>4252</v>
      </c>
      <c r="P19" s="146">
        <f t="shared" si="20"/>
        <v>72.284</v>
      </c>
      <c r="Q19" s="147">
        <f t="shared" si="20"/>
        <v>2914</v>
      </c>
      <c r="R19" s="146">
        <f t="shared" si="20"/>
        <v>49.53800000000001</v>
      </c>
      <c r="S19" s="147">
        <f t="shared" si="20"/>
        <v>2603</v>
      </c>
      <c r="T19" s="148">
        <f t="shared" si="20"/>
        <v>44.251000000000005</v>
      </c>
      <c r="U19" s="147">
        <f t="shared" si="20"/>
        <v>18002</v>
      </c>
      <c r="V19" s="146">
        <f t="shared" si="20"/>
        <v>306.034</v>
      </c>
      <c r="W19" s="147">
        <f t="shared" si="20"/>
        <v>27726</v>
      </c>
      <c r="X19" s="146">
        <f t="shared" si="20"/>
        <v>471.3420000000001</v>
      </c>
      <c r="Y19" s="45">
        <f t="shared" si="20"/>
        <v>30</v>
      </c>
      <c r="Z19" s="66">
        <f t="shared" si="20"/>
        <v>0.51</v>
      </c>
      <c r="AA19" s="45">
        <f t="shared" si="20"/>
        <v>15</v>
      </c>
      <c r="AB19" s="66">
        <f t="shared" si="20"/>
        <v>0.255</v>
      </c>
      <c r="AC19" s="18">
        <f t="shared" si="19"/>
        <v>271</v>
      </c>
      <c r="AD19" s="25">
        <f t="shared" si="11"/>
        <v>25361</v>
      </c>
      <c r="AE19" s="25">
        <f>O19+Q19+S19+U19</f>
        <v>27771</v>
      </c>
      <c r="AF19" s="25">
        <f>W19+Y19+AA19</f>
        <v>27771</v>
      </c>
      <c r="AG19" s="25">
        <f>SUM(AG4:AG18)</f>
        <v>2410</v>
      </c>
      <c r="AH19" s="25">
        <f t="shared" si="15"/>
        <v>0</v>
      </c>
      <c r="AI19" s="62">
        <f t="shared" si="16"/>
        <v>472.1070000000001</v>
      </c>
      <c r="AJ19" s="62">
        <f>R19+T19+V19+P19</f>
        <v>472.10699999999997</v>
      </c>
      <c r="AK19" s="62">
        <f t="shared" si="18"/>
        <v>472.1070000000001</v>
      </c>
    </row>
    <row r="20" spans="12:24" ht="11.25">
      <c r="L20" s="149"/>
      <c r="M20" s="149"/>
      <c r="N20" s="149"/>
      <c r="O20" s="149"/>
      <c r="P20" s="149"/>
      <c r="Q20" s="142"/>
      <c r="R20" s="150"/>
      <c r="S20" s="142"/>
      <c r="T20" s="150"/>
      <c r="U20" s="142"/>
      <c r="V20" s="150"/>
      <c r="W20" s="142"/>
      <c r="X20" s="150"/>
    </row>
    <row r="21" spans="1:24" ht="11.25">
      <c r="A21" s="271" t="s">
        <v>81</v>
      </c>
      <c r="B21" s="271"/>
      <c r="C21" s="271"/>
      <c r="D21" s="271"/>
      <c r="E21" s="271"/>
      <c r="F21" s="271"/>
      <c r="G21" s="271"/>
      <c r="H21" s="36"/>
      <c r="I21" s="37"/>
      <c r="L21" s="149"/>
      <c r="M21" s="149"/>
      <c r="N21" s="149"/>
      <c r="O21" s="149"/>
      <c r="P21" s="149"/>
      <c r="Q21" s="142"/>
      <c r="R21" s="150"/>
      <c r="S21" s="142"/>
      <c r="T21" s="150"/>
      <c r="U21" s="142"/>
      <c r="V21" s="150"/>
      <c r="W21" s="142"/>
      <c r="X21" s="150"/>
    </row>
    <row r="22" spans="1:27" s="52" customFormat="1" ht="24" customHeight="1">
      <c r="A22" s="39">
        <v>17</v>
      </c>
      <c r="B22" s="271" t="s">
        <v>82</v>
      </c>
      <c r="C22" s="271"/>
      <c r="D22" s="271"/>
      <c r="E22" s="271"/>
      <c r="F22" s="271"/>
      <c r="G22" s="271"/>
      <c r="H22" s="47">
        <f>C19+F19+I19</f>
        <v>271</v>
      </c>
      <c r="I22" s="39" t="s">
        <v>83</v>
      </c>
      <c r="J22" s="49"/>
      <c r="K22" s="50"/>
      <c r="L22" s="151"/>
      <c r="M22" s="151"/>
      <c r="N22" s="151"/>
      <c r="O22" s="151"/>
      <c r="P22" s="151"/>
      <c r="Q22" s="152"/>
      <c r="R22" s="153"/>
      <c r="S22" s="152"/>
      <c r="T22" s="153"/>
      <c r="U22" s="152"/>
      <c r="V22" s="153"/>
      <c r="W22" s="152"/>
      <c r="X22" s="153"/>
      <c r="Y22" s="51"/>
      <c r="AA22" s="51"/>
    </row>
    <row r="23" spans="1:24" ht="24" customHeight="1">
      <c r="A23" s="39">
        <v>18</v>
      </c>
      <c r="B23" s="271" t="s">
        <v>84</v>
      </c>
      <c r="C23" s="271"/>
      <c r="D23" s="271"/>
      <c r="E23" s="271"/>
      <c r="F23" s="271"/>
      <c r="G23" s="271"/>
      <c r="H23" s="48">
        <f>D19+G19</f>
        <v>25361</v>
      </c>
      <c r="I23" s="39" t="s">
        <v>14</v>
      </c>
      <c r="L23" s="149"/>
      <c r="M23" s="149"/>
      <c r="N23" s="149"/>
      <c r="O23" s="149"/>
      <c r="P23" s="149"/>
      <c r="Q23" s="142"/>
      <c r="R23" s="150"/>
      <c r="S23" s="142"/>
      <c r="T23" s="150"/>
      <c r="U23" s="142"/>
      <c r="V23" s="150"/>
      <c r="W23" s="142"/>
      <c r="X23" s="150"/>
    </row>
    <row r="24" spans="1:24" ht="24" customHeight="1">
      <c r="A24" s="39">
        <v>19</v>
      </c>
      <c r="B24" s="271" t="s">
        <v>85</v>
      </c>
      <c r="C24" s="271"/>
      <c r="D24" s="271"/>
      <c r="E24" s="271"/>
      <c r="F24" s="271"/>
      <c r="G24" s="271"/>
      <c r="H24" s="61">
        <f>E19+H19+J19</f>
        <v>472.1070000000001</v>
      </c>
      <c r="I24" s="39" t="s">
        <v>15</v>
      </c>
      <c r="L24" s="149"/>
      <c r="M24" s="149"/>
      <c r="N24" s="149"/>
      <c r="O24" s="149"/>
      <c r="P24" s="149"/>
      <c r="Q24" s="142"/>
      <c r="R24" s="150"/>
      <c r="S24" s="142"/>
      <c r="T24" s="150"/>
      <c r="U24" s="142"/>
      <c r="V24" s="150"/>
      <c r="W24" s="142"/>
      <c r="X24" s="150"/>
    </row>
  </sheetData>
  <sheetProtection/>
  <mergeCells count="23">
    <mergeCell ref="A1:A3"/>
    <mergeCell ref="B1:B3"/>
    <mergeCell ref="C1:E2"/>
    <mergeCell ref="F1:H2"/>
    <mergeCell ref="A21:G21"/>
    <mergeCell ref="K1:V1"/>
    <mergeCell ref="K2:L2"/>
    <mergeCell ref="O2:P2"/>
    <mergeCell ref="B23:G23"/>
    <mergeCell ref="M2:N2"/>
    <mergeCell ref="B24:G24"/>
    <mergeCell ref="Q2:R2"/>
    <mergeCell ref="B22:G22"/>
    <mergeCell ref="AA2:AB2"/>
    <mergeCell ref="AI2:AK2"/>
    <mergeCell ref="W2:X2"/>
    <mergeCell ref="Y2:Z2"/>
    <mergeCell ref="I1:J2"/>
    <mergeCell ref="W1:AB1"/>
    <mergeCell ref="S2:T2"/>
    <mergeCell ref="U2:V2"/>
    <mergeCell ref="AD2:AF2"/>
    <mergeCell ref="AE1:AJ1"/>
  </mergeCells>
  <printOptions/>
  <pageMargins left="0.9448818897637796" right="0.2362204724409449" top="1.535433070866142" bottom="0.5905511811023623" header="0.5118110236220472" footer="0.2362204724409449"/>
  <pageSetup horizontalDpi="600" verticalDpi="600" orientation="landscape" paperSize="9" scale="75" r:id="rId1"/>
  <headerFooter alignWithMargins="0">
    <oddHeader>&amp;C&amp;"Arial,Pogrubiony"&amp;11Załącznik Nr 1 
INWENTARYZACJA&amp;"Arial,Normalny"&amp;10
wyrobów zawierających azbest
na terenie gminy Kobylanka
&amp;"Arial,Pogrubiony"Zestawienie zbiorcze wg rodzajów budynków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26" sqref="D26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63"/>
      <c r="N1" s="164"/>
      <c r="O1" s="164"/>
      <c r="P1" s="164"/>
    </row>
    <row r="2" spans="1:16" s="57" customFormat="1" ht="11.25">
      <c r="A2" s="74">
        <v>1</v>
      </c>
      <c r="B2" s="74" t="s">
        <v>29</v>
      </c>
      <c r="C2" s="75" t="s">
        <v>29</v>
      </c>
      <c r="D2" s="76" t="s">
        <v>116</v>
      </c>
      <c r="E2" s="74">
        <v>2</v>
      </c>
      <c r="F2" s="74" t="str">
        <f aca="true" t="shared" si="0" ref="F2:F8">IF(E2=2,"budynek gospodarczy","budynek mieszkalny")</f>
        <v>budynek gospodarczy</v>
      </c>
      <c r="G2" s="74" t="s">
        <v>10</v>
      </c>
      <c r="H2" s="77">
        <f>5*2*20</f>
        <v>200</v>
      </c>
      <c r="I2" s="78">
        <f>0.017*H2</f>
        <v>3.4000000000000004</v>
      </c>
      <c r="J2" s="79" t="s">
        <v>26</v>
      </c>
      <c r="K2" s="170" t="s">
        <v>72</v>
      </c>
      <c r="L2" s="165"/>
      <c r="M2" s="171"/>
      <c r="N2" s="167"/>
      <c r="O2" s="167"/>
      <c r="P2" s="167"/>
    </row>
    <row r="3" spans="1:16" s="57" customFormat="1" ht="11.25">
      <c r="A3" s="74">
        <v>2</v>
      </c>
      <c r="B3" s="74" t="s">
        <v>29</v>
      </c>
      <c r="C3" s="75" t="s">
        <v>29</v>
      </c>
      <c r="D3" s="76" t="s">
        <v>116</v>
      </c>
      <c r="E3" s="74">
        <v>0</v>
      </c>
      <c r="F3" s="74" t="str">
        <f t="shared" si="0"/>
        <v>budynek mieszkalny</v>
      </c>
      <c r="G3" s="74" t="s">
        <v>10</v>
      </c>
      <c r="H3" s="77">
        <f>5*2*12</f>
        <v>120</v>
      </c>
      <c r="I3" s="78">
        <f aca="true" t="shared" si="1" ref="I3:I14">0.017*H3</f>
        <v>2.04</v>
      </c>
      <c r="J3" s="79" t="s">
        <v>24</v>
      </c>
      <c r="K3" s="170" t="s">
        <v>71</v>
      </c>
      <c r="L3" s="165"/>
      <c r="M3" s="171"/>
      <c r="N3" s="167"/>
      <c r="O3" s="167"/>
      <c r="P3" s="167"/>
    </row>
    <row r="4" spans="1:16" s="57" customFormat="1" ht="11.25">
      <c r="A4" s="74">
        <v>3</v>
      </c>
      <c r="B4" s="74" t="s">
        <v>29</v>
      </c>
      <c r="C4" s="75" t="s">
        <v>29</v>
      </c>
      <c r="D4" s="76" t="s">
        <v>117</v>
      </c>
      <c r="E4" s="74">
        <v>2</v>
      </c>
      <c r="F4" s="74" t="str">
        <f t="shared" si="0"/>
        <v>budynek gospodarczy</v>
      </c>
      <c r="G4" s="74" t="s">
        <v>10</v>
      </c>
      <c r="H4" s="77">
        <f>6.5*2*30</f>
        <v>390</v>
      </c>
      <c r="I4" s="78">
        <f t="shared" si="1"/>
        <v>6.630000000000001</v>
      </c>
      <c r="J4" s="79" t="s">
        <v>26</v>
      </c>
      <c r="K4" s="170" t="s">
        <v>72</v>
      </c>
      <c r="L4" s="165"/>
      <c r="M4" s="171"/>
      <c r="N4" s="167"/>
      <c r="O4" s="167"/>
      <c r="P4" s="167"/>
    </row>
    <row r="5" spans="1:16" s="57" customFormat="1" ht="11.25">
      <c r="A5" s="74">
        <v>4</v>
      </c>
      <c r="B5" s="74" t="s">
        <v>29</v>
      </c>
      <c r="C5" s="75" t="s">
        <v>29</v>
      </c>
      <c r="D5" s="76" t="s">
        <v>117</v>
      </c>
      <c r="E5" s="74">
        <v>0</v>
      </c>
      <c r="F5" s="74" t="str">
        <f t="shared" si="0"/>
        <v>budynek mieszkalny</v>
      </c>
      <c r="G5" s="74" t="s">
        <v>10</v>
      </c>
      <c r="H5" s="77">
        <f>6.5*2*12</f>
        <v>156</v>
      </c>
      <c r="I5" s="78">
        <f t="shared" si="1"/>
        <v>2.652</v>
      </c>
      <c r="J5" s="79" t="s">
        <v>24</v>
      </c>
      <c r="K5" s="170" t="s">
        <v>71</v>
      </c>
      <c r="L5" s="165"/>
      <c r="M5" s="171"/>
      <c r="N5" s="167"/>
      <c r="O5" s="167"/>
      <c r="P5" s="167"/>
    </row>
    <row r="6" spans="1:16" s="57" customFormat="1" ht="11.25">
      <c r="A6" s="74">
        <v>5</v>
      </c>
      <c r="B6" s="74" t="s">
        <v>29</v>
      </c>
      <c r="C6" s="75" t="s">
        <v>29</v>
      </c>
      <c r="D6" s="76" t="s">
        <v>117</v>
      </c>
      <c r="E6" s="74">
        <v>2</v>
      </c>
      <c r="F6" s="74" t="str">
        <f t="shared" si="0"/>
        <v>budynek gospodarczy</v>
      </c>
      <c r="G6" s="74" t="s">
        <v>10</v>
      </c>
      <c r="H6" s="77">
        <f>4.5*6</f>
        <v>27</v>
      </c>
      <c r="I6" s="78">
        <f t="shared" si="1"/>
        <v>0.459</v>
      </c>
      <c r="J6" s="79" t="s">
        <v>23</v>
      </c>
      <c r="K6" s="170" t="s">
        <v>70</v>
      </c>
      <c r="L6" s="165"/>
      <c r="M6" s="171"/>
      <c r="N6" s="167"/>
      <c r="O6" s="167"/>
      <c r="P6" s="167"/>
    </row>
    <row r="7" spans="1:16" s="57" customFormat="1" ht="11.25">
      <c r="A7" s="74">
        <v>6</v>
      </c>
      <c r="B7" s="74" t="s">
        <v>29</v>
      </c>
      <c r="C7" s="75" t="s">
        <v>29</v>
      </c>
      <c r="D7" s="76" t="s">
        <v>117</v>
      </c>
      <c r="E7" s="74">
        <v>2</v>
      </c>
      <c r="F7" s="74" t="str">
        <f t="shared" si="0"/>
        <v>budynek gospodarczy</v>
      </c>
      <c r="G7" s="74" t="s">
        <v>10</v>
      </c>
      <c r="H7" s="77">
        <f>4*20</f>
        <v>80</v>
      </c>
      <c r="I7" s="78">
        <f t="shared" si="1"/>
        <v>1.36</v>
      </c>
      <c r="J7" s="79" t="s">
        <v>26</v>
      </c>
      <c r="K7" s="170" t="s">
        <v>72</v>
      </c>
      <c r="L7" s="165"/>
      <c r="M7" s="171"/>
      <c r="N7" s="167"/>
      <c r="O7" s="167"/>
      <c r="P7" s="167"/>
    </row>
    <row r="8" spans="1:16" s="57" customFormat="1" ht="11.25">
      <c r="A8" s="74">
        <v>7</v>
      </c>
      <c r="B8" s="74" t="s">
        <v>29</v>
      </c>
      <c r="C8" s="75" t="s">
        <v>29</v>
      </c>
      <c r="D8" s="76" t="s">
        <v>117</v>
      </c>
      <c r="E8" s="74">
        <v>2</v>
      </c>
      <c r="F8" s="74" t="str">
        <f t="shared" si="0"/>
        <v>budynek gospodarczy</v>
      </c>
      <c r="G8" s="74" t="s">
        <v>10</v>
      </c>
      <c r="H8" s="77">
        <f>3.5*6</f>
        <v>21</v>
      </c>
      <c r="I8" s="78">
        <f t="shared" si="1"/>
        <v>0.35700000000000004</v>
      </c>
      <c r="J8" s="79" t="s">
        <v>23</v>
      </c>
      <c r="K8" s="170" t="s">
        <v>70</v>
      </c>
      <c r="L8" s="165"/>
      <c r="M8" s="171"/>
      <c r="N8" s="167"/>
      <c r="O8" s="167"/>
      <c r="P8" s="167"/>
    </row>
    <row r="9" spans="1:16" s="57" customFormat="1" ht="11.25">
      <c r="A9" s="74">
        <v>8</v>
      </c>
      <c r="B9" s="74" t="s">
        <v>29</v>
      </c>
      <c r="C9" s="75" t="s">
        <v>29</v>
      </c>
      <c r="D9" s="76" t="s">
        <v>118</v>
      </c>
      <c r="E9" s="74">
        <v>2</v>
      </c>
      <c r="F9" s="74" t="str">
        <f aca="true" t="shared" si="2" ref="F9:F14">IF(E9=2,"budynek gospodarczy","budynek mieszkalny")</f>
        <v>budynek gospodarczy</v>
      </c>
      <c r="G9" s="74" t="s">
        <v>10</v>
      </c>
      <c r="H9" s="77">
        <f>4*2*20</f>
        <v>160</v>
      </c>
      <c r="I9" s="78">
        <f t="shared" si="1"/>
        <v>2.72</v>
      </c>
      <c r="J9" s="79" t="s">
        <v>26</v>
      </c>
      <c r="K9" s="170" t="s">
        <v>72</v>
      </c>
      <c r="L9" s="165"/>
      <c r="M9" s="171"/>
      <c r="N9" s="167"/>
      <c r="O9" s="167"/>
      <c r="P9" s="167"/>
    </row>
    <row r="10" spans="1:16" s="57" customFormat="1" ht="11.25">
      <c r="A10" s="74">
        <v>9</v>
      </c>
      <c r="B10" s="74" t="s">
        <v>29</v>
      </c>
      <c r="C10" s="75" t="s">
        <v>29</v>
      </c>
      <c r="D10" s="76" t="s">
        <v>118</v>
      </c>
      <c r="E10" s="74">
        <v>2</v>
      </c>
      <c r="F10" s="74" t="str">
        <f t="shared" si="2"/>
        <v>budynek gospodarczy</v>
      </c>
      <c r="G10" s="74" t="s">
        <v>10</v>
      </c>
      <c r="H10" s="77">
        <f>6*8</f>
        <v>48</v>
      </c>
      <c r="I10" s="78">
        <f t="shared" si="1"/>
        <v>0.8160000000000001</v>
      </c>
      <c r="J10" s="79" t="s">
        <v>23</v>
      </c>
      <c r="K10" s="170" t="s">
        <v>70</v>
      </c>
      <c r="L10" s="165"/>
      <c r="M10" s="171"/>
      <c r="N10" s="167"/>
      <c r="O10" s="167"/>
      <c r="P10" s="167"/>
    </row>
    <row r="11" spans="1:16" s="57" customFormat="1" ht="11.25">
      <c r="A11" s="74">
        <v>10</v>
      </c>
      <c r="B11" s="74" t="s">
        <v>29</v>
      </c>
      <c r="C11" s="75" t="s">
        <v>29</v>
      </c>
      <c r="D11" s="76" t="s">
        <v>119</v>
      </c>
      <c r="E11" s="74">
        <v>2</v>
      </c>
      <c r="F11" s="74" t="str">
        <f t="shared" si="2"/>
        <v>budynek gospodarczy</v>
      </c>
      <c r="G11" s="74" t="s">
        <v>10</v>
      </c>
      <c r="H11" s="77">
        <f>5*4</f>
        <v>20</v>
      </c>
      <c r="I11" s="78">
        <f t="shared" si="1"/>
        <v>0.34</v>
      </c>
      <c r="J11" s="79" t="s">
        <v>23</v>
      </c>
      <c r="K11" s="170" t="s">
        <v>70</v>
      </c>
      <c r="L11" s="165"/>
      <c r="M11" s="171"/>
      <c r="N11" s="167"/>
      <c r="O11" s="167"/>
      <c r="P11" s="167"/>
    </row>
    <row r="12" spans="1:16" s="57" customFormat="1" ht="11.25">
      <c r="A12" s="74">
        <v>11</v>
      </c>
      <c r="B12" s="74" t="s">
        <v>29</v>
      </c>
      <c r="C12" s="75" t="s">
        <v>29</v>
      </c>
      <c r="D12" s="76" t="s">
        <v>120</v>
      </c>
      <c r="E12" s="74">
        <v>2</v>
      </c>
      <c r="F12" s="74" t="str">
        <f t="shared" si="2"/>
        <v>budynek gospodarczy</v>
      </c>
      <c r="G12" s="74" t="s">
        <v>10</v>
      </c>
      <c r="H12" s="77">
        <f>5*12</f>
        <v>60</v>
      </c>
      <c r="I12" s="78">
        <f t="shared" si="1"/>
        <v>1.02</v>
      </c>
      <c r="J12" s="79" t="s">
        <v>26</v>
      </c>
      <c r="K12" s="170" t="s">
        <v>72</v>
      </c>
      <c r="L12" s="165"/>
      <c r="M12" s="171"/>
      <c r="N12" s="167"/>
      <c r="O12" s="167"/>
      <c r="P12" s="167"/>
    </row>
    <row r="13" spans="1:16" s="57" customFormat="1" ht="11.25">
      <c r="A13" s="74">
        <v>12</v>
      </c>
      <c r="B13" s="74" t="s">
        <v>29</v>
      </c>
      <c r="C13" s="75" t="s">
        <v>29</v>
      </c>
      <c r="D13" s="76" t="s">
        <v>121</v>
      </c>
      <c r="E13" s="74">
        <v>2</v>
      </c>
      <c r="F13" s="74" t="str">
        <f t="shared" si="2"/>
        <v>budynek gospodarczy</v>
      </c>
      <c r="G13" s="74" t="s">
        <v>10</v>
      </c>
      <c r="H13" s="77">
        <f>3*5</f>
        <v>15</v>
      </c>
      <c r="I13" s="78">
        <f t="shared" si="1"/>
        <v>0.255</v>
      </c>
      <c r="J13" s="79" t="s">
        <v>23</v>
      </c>
      <c r="K13" s="170" t="s">
        <v>70</v>
      </c>
      <c r="L13" s="165"/>
      <c r="M13" s="171"/>
      <c r="N13" s="167"/>
      <c r="O13" s="167"/>
      <c r="P13" s="167"/>
    </row>
    <row r="14" spans="1:16" s="57" customFormat="1" ht="11.25">
      <c r="A14" s="74">
        <v>13</v>
      </c>
      <c r="B14" s="74" t="s">
        <v>29</v>
      </c>
      <c r="C14" s="75" t="s">
        <v>29</v>
      </c>
      <c r="D14" s="76" t="s">
        <v>121</v>
      </c>
      <c r="E14" s="74">
        <v>2</v>
      </c>
      <c r="F14" s="74" t="str">
        <f t="shared" si="2"/>
        <v>budynek gospodarczy</v>
      </c>
      <c r="G14" s="74" t="s">
        <v>10</v>
      </c>
      <c r="H14" s="77">
        <f>3.5*6</f>
        <v>21</v>
      </c>
      <c r="I14" s="78">
        <f t="shared" si="1"/>
        <v>0.35700000000000004</v>
      </c>
      <c r="J14" s="79" t="s">
        <v>23</v>
      </c>
      <c r="K14" s="170" t="s">
        <v>70</v>
      </c>
      <c r="L14" s="165"/>
      <c r="M14" s="171"/>
      <c r="N14" s="167"/>
      <c r="O14" s="167"/>
      <c r="P14" s="167"/>
    </row>
    <row r="15" spans="3:12" s="57" customFormat="1" ht="11.25">
      <c r="C15" s="58"/>
      <c r="D15" s="59"/>
      <c r="J15" s="60"/>
      <c r="K15" s="60"/>
      <c r="L15" s="60"/>
    </row>
    <row r="16" spans="7:12" ht="11.25">
      <c r="G16" s="2" t="s">
        <v>11</v>
      </c>
      <c r="H16" s="12">
        <f>SUM(H2:H14)</f>
        <v>1318</v>
      </c>
      <c r="I16" s="6">
        <f>SUM(I2:I14)</f>
        <v>22.405999999999995</v>
      </c>
      <c r="J16" s="6"/>
      <c r="K16" s="6"/>
      <c r="L16" s="6"/>
    </row>
    <row r="17" spans="10:15" ht="11.25">
      <c r="J17" s="259" t="s">
        <v>14</v>
      </c>
      <c r="K17" s="260"/>
      <c r="L17" s="260"/>
      <c r="M17" s="260"/>
      <c r="N17" s="260"/>
      <c r="O17" s="260"/>
    </row>
    <row r="18" spans="6:15" ht="11.25">
      <c r="F18" s="7" t="s">
        <v>12</v>
      </c>
      <c r="G18" s="7" t="s">
        <v>13</v>
      </c>
      <c r="H18" s="7" t="s">
        <v>14</v>
      </c>
      <c r="I18" s="7" t="s">
        <v>15</v>
      </c>
      <c r="J18" s="215" t="s">
        <v>199</v>
      </c>
      <c r="K18" s="215" t="s">
        <v>217</v>
      </c>
      <c r="L18" s="157">
        <v>2015</v>
      </c>
      <c r="M18" s="157">
        <v>2017</v>
      </c>
      <c r="N18" s="157">
        <v>2022</v>
      </c>
      <c r="O18" s="157">
        <v>2032</v>
      </c>
    </row>
    <row r="19" spans="6:15" ht="11.25">
      <c r="F19" s="37" t="s">
        <v>221</v>
      </c>
      <c r="G19" s="10">
        <v>2</v>
      </c>
      <c r="H19" s="11">
        <f>SUMIF(F$2:F14,F19,H$2:H14)</f>
        <v>276</v>
      </c>
      <c r="I19" s="11">
        <f>SUMIF(F$2:F14,F19,I$2:I14)</f>
        <v>4.692</v>
      </c>
      <c r="J19" s="216"/>
      <c r="K19" s="216"/>
      <c r="L19" s="241">
        <f>_xlfn.SUMIFS(H$2:H$14,K$2:K$14,L$18,F$2:F$14,F19)</f>
        <v>0</v>
      </c>
      <c r="M19" s="241">
        <f>_xlfn.SUMIFS(H$2:H$14,K$2:K$14,M$18,F$2:F$14,F19)</f>
        <v>0</v>
      </c>
      <c r="N19" s="241">
        <f>_xlfn.SUMIFS(H$2:H$14,K$2:K$14,N$18,F$2:F$14,F19)</f>
        <v>276</v>
      </c>
      <c r="O19" s="241">
        <f>_xlfn.SUMIFS(H$2:H$14,K$2:K$14,O$18,F$2:F$14,F19)</f>
        <v>0</v>
      </c>
    </row>
    <row r="20" spans="6:15" ht="11.25">
      <c r="F20" s="37" t="s">
        <v>192</v>
      </c>
      <c r="G20" s="10">
        <v>11</v>
      </c>
      <c r="H20" s="11">
        <f>SUMIF(F$2:F14,F20,H$2:H14)</f>
        <v>1042</v>
      </c>
      <c r="I20" s="11">
        <f>SUMIF(F$2:F14,F20,I$2:I14)</f>
        <v>17.714</v>
      </c>
      <c r="J20" s="242"/>
      <c r="K20" s="216">
        <v>25.42</v>
      </c>
      <c r="L20" s="241">
        <f>_xlfn.SUMIFS(H$2:H$14,K$2:K$14,L$18,F$2:F$14,F20)</f>
        <v>0</v>
      </c>
      <c r="M20" s="241">
        <f>_xlfn.SUMIFS(H$2:H$14,K$2:K$14,M$18,F$2:F$14,F20)</f>
        <v>152</v>
      </c>
      <c r="N20" s="241">
        <f>_xlfn.SUMIFS(H$2:H$14,K$2:K$14,N$18,F$2:F$14,F20)</f>
        <v>0</v>
      </c>
      <c r="O20" s="241">
        <f>_xlfn.SUMIFS(H$2:H$14,K$2:K$14,O$18,F$2:F$14,F20)</f>
        <v>890</v>
      </c>
    </row>
    <row r="21" spans="6:15" ht="11.25">
      <c r="F21" s="9" t="s">
        <v>18</v>
      </c>
      <c r="G21" s="10"/>
      <c r="H21" s="11">
        <f>SUMIF(F$2:F14,F21,H$2:H14)</f>
        <v>0</v>
      </c>
      <c r="I21" s="11">
        <f>SUMIF(F$2:F14,F21,I$2:I14)</f>
        <v>0</v>
      </c>
      <c r="J21" s="216"/>
      <c r="K21" s="216"/>
      <c r="L21" s="241">
        <f>_xlfn.SUMIFS(H$2:H$14,K$2:K$14,L$18,F$2:F$14,F21)</f>
        <v>0</v>
      </c>
      <c r="M21" s="241">
        <f>_xlfn.SUMIFS(H$2:H$14,K$2:K$14,M$18,F$2:F$14,F21)</f>
        <v>0</v>
      </c>
      <c r="N21" s="241">
        <f>_xlfn.SUMIFS(H$2:H$14,K$2:K$14,N$18,F$2:F$14,F21)</f>
        <v>0</v>
      </c>
      <c r="O21" s="241">
        <f>_xlfn.SUMIFS(H$2:H$14,K$2:K$14,O$18,F$2:F$14,F21)</f>
        <v>0</v>
      </c>
    </row>
    <row r="22" spans="6:15" ht="11.25">
      <c r="F22" s="37" t="s">
        <v>10</v>
      </c>
      <c r="G22" s="10"/>
      <c r="H22" s="11">
        <f>SUMIF(G$2:G14,F22,H$2:H14)</f>
        <v>1318</v>
      </c>
      <c r="I22" s="11">
        <f>SUMIF(G$2:G14,F$22,I$2:I14)</f>
        <v>22.405999999999995</v>
      </c>
      <c r="J22" s="216"/>
      <c r="K22" s="216">
        <v>25.42</v>
      </c>
      <c r="L22" s="11">
        <f>_xlfn.SUMIFS(H2:H14,K2:K14,L18,G2:G14,F22)</f>
        <v>0</v>
      </c>
      <c r="M22" s="11">
        <f>_xlfn.SUMIFS(H2:H14,K2:K14,M18,G2:G14,F22)</f>
        <v>152</v>
      </c>
      <c r="N22" s="11">
        <f>_xlfn.SUMIFS(H2:H14,K2:K14,N18,G2:G14,F22)</f>
        <v>276</v>
      </c>
      <c r="O22" s="11">
        <f>_xlfn.SUMIFS(H2:H14,K2:K14,O18,G2:G14,F22)</f>
        <v>890</v>
      </c>
    </row>
    <row r="23" spans="6:15" ht="11.25">
      <c r="F23" s="9" t="s">
        <v>19</v>
      </c>
      <c r="G23" s="10"/>
      <c r="H23" s="11">
        <f>SUMIF(G$2:G14,F23,H$2:H14)</f>
        <v>0</v>
      </c>
      <c r="I23" s="11">
        <f>SUMIF(G$2:I15,#REF!,I$2:I15)</f>
        <v>0</v>
      </c>
      <c r="J23" s="216"/>
      <c r="K23" s="216"/>
      <c r="L23" s="11"/>
      <c r="M23" s="11"/>
      <c r="N23" s="11"/>
      <c r="O23" s="11"/>
    </row>
    <row r="24" spans="6:15" ht="11.25">
      <c r="F24" s="9" t="s">
        <v>20</v>
      </c>
      <c r="G24" s="10"/>
      <c r="H24" s="11">
        <f>SUMIF(G$2:I16,#REF!,H$2:H16)</f>
        <v>0</v>
      </c>
      <c r="I24" s="11">
        <f>SUMIF(G$2:I16,#REF!,I$2:I16)</f>
        <v>0</v>
      </c>
      <c r="J24" s="216"/>
      <c r="K24" s="216"/>
      <c r="L24" s="11"/>
      <c r="M24" s="11"/>
      <c r="N24" s="11"/>
      <c r="O24" s="11"/>
    </row>
    <row r="25" spans="6:15" ht="11.25">
      <c r="F25" s="9" t="s">
        <v>21</v>
      </c>
      <c r="G25" s="10"/>
      <c r="H25" s="11"/>
      <c r="I25" s="11"/>
      <c r="J25" s="216"/>
      <c r="K25" s="216"/>
      <c r="L25" s="11"/>
      <c r="M25" s="11"/>
      <c r="N25" s="11"/>
      <c r="O25" s="11"/>
    </row>
  </sheetData>
  <sheetProtection/>
  <autoFilter ref="A1:P14"/>
  <mergeCells count="1">
    <mergeCell ref="J17:O17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25" sqref="G25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75"/>
      <c r="N1" s="164"/>
      <c r="O1" s="164"/>
      <c r="P1" s="164"/>
    </row>
    <row r="2" spans="1:16" ht="11.25">
      <c r="A2" s="9">
        <v>1</v>
      </c>
      <c r="B2" s="9" t="s">
        <v>38</v>
      </c>
      <c r="C2" s="84" t="s">
        <v>38</v>
      </c>
      <c r="D2" s="85" t="s">
        <v>122</v>
      </c>
      <c r="E2" s="9">
        <v>0</v>
      </c>
      <c r="F2" s="9" t="str">
        <f>IF(E2=2,"budynek gospodarczy","budynek mieszkalny")</f>
        <v>budynek mieszkalny</v>
      </c>
      <c r="G2" s="9" t="s">
        <v>10</v>
      </c>
      <c r="H2" s="13">
        <f>4*2*8</f>
        <v>64</v>
      </c>
      <c r="I2" s="54">
        <f>0.017*H2</f>
        <v>1.088</v>
      </c>
      <c r="J2" s="86" t="s">
        <v>24</v>
      </c>
      <c r="K2" s="172" t="s">
        <v>71</v>
      </c>
      <c r="L2" s="192"/>
      <c r="M2" s="176"/>
      <c r="N2" s="173"/>
      <c r="O2" s="174"/>
      <c r="P2" s="174"/>
    </row>
    <row r="3" spans="1:16" ht="11.25">
      <c r="A3" s="9">
        <v>2</v>
      </c>
      <c r="B3" s="9" t="s">
        <v>38</v>
      </c>
      <c r="C3" s="84" t="s">
        <v>38</v>
      </c>
      <c r="D3" s="85" t="s">
        <v>65</v>
      </c>
      <c r="E3" s="9">
        <v>2</v>
      </c>
      <c r="F3" s="9" t="str">
        <f>IF(E3=2,"budynek gospodarczy","budynek mieszkalny")</f>
        <v>budynek gospodarczy</v>
      </c>
      <c r="G3" s="9" t="s">
        <v>10</v>
      </c>
      <c r="H3" s="13">
        <f>4*6</f>
        <v>24</v>
      </c>
      <c r="I3" s="54">
        <f>0.017*H3</f>
        <v>0.40800000000000003</v>
      </c>
      <c r="J3" s="86" t="s">
        <v>23</v>
      </c>
      <c r="K3" s="172" t="s">
        <v>70</v>
      </c>
      <c r="L3" s="192"/>
      <c r="M3" s="176"/>
      <c r="N3" s="174"/>
      <c r="O3" s="174"/>
      <c r="P3" s="174"/>
    </row>
    <row r="4" spans="1:16" ht="11.25">
      <c r="A4" s="9">
        <v>3</v>
      </c>
      <c r="B4" s="9" t="s">
        <v>38</v>
      </c>
      <c r="C4" s="84" t="s">
        <v>38</v>
      </c>
      <c r="D4" s="85" t="s">
        <v>123</v>
      </c>
      <c r="E4" s="9">
        <v>2</v>
      </c>
      <c r="F4" s="9" t="str">
        <f>IF(E4=2,"budynek gospodarczy","budynek mieszkalny")</f>
        <v>budynek gospodarczy</v>
      </c>
      <c r="G4" s="9" t="s">
        <v>10</v>
      </c>
      <c r="H4" s="13">
        <f>3*4</f>
        <v>12</v>
      </c>
      <c r="I4" s="54">
        <f>0.017*H4</f>
        <v>0.20400000000000001</v>
      </c>
      <c r="J4" s="86" t="s">
        <v>23</v>
      </c>
      <c r="K4" s="172" t="s">
        <v>70</v>
      </c>
      <c r="L4" s="192"/>
      <c r="M4" s="176"/>
      <c r="N4" s="173"/>
      <c r="O4" s="174"/>
      <c r="P4" s="174"/>
    </row>
    <row r="5" spans="9:12" ht="11.25">
      <c r="I5" s="55"/>
      <c r="J5" s="5"/>
      <c r="K5" s="5"/>
      <c r="L5" s="5"/>
    </row>
    <row r="6" spans="7:12" ht="11.25">
      <c r="G6" s="2" t="s">
        <v>11</v>
      </c>
      <c r="H6" s="12">
        <f>SUM(H2:H4)</f>
        <v>100</v>
      </c>
      <c r="I6" s="56">
        <f>SUM(I2:I4)</f>
        <v>1.7</v>
      </c>
      <c r="J6" s="6"/>
      <c r="K6" s="6"/>
      <c r="L6" s="6"/>
    </row>
    <row r="7" spans="10:15" ht="11.25">
      <c r="J7" s="259" t="s">
        <v>14</v>
      </c>
      <c r="K7" s="260"/>
      <c r="L7" s="260"/>
      <c r="M7" s="260"/>
      <c r="N7" s="260"/>
      <c r="O7" s="260"/>
    </row>
    <row r="8" spans="6:15" ht="11.25">
      <c r="F8" s="7" t="s">
        <v>12</v>
      </c>
      <c r="G8" s="7" t="s">
        <v>13</v>
      </c>
      <c r="H8" s="7" t="s">
        <v>14</v>
      </c>
      <c r="I8" s="7" t="s">
        <v>15</v>
      </c>
      <c r="J8" s="215" t="s">
        <v>199</v>
      </c>
      <c r="K8" s="215" t="s">
        <v>200</v>
      </c>
      <c r="L8" s="157">
        <v>2015</v>
      </c>
      <c r="M8" s="157">
        <v>2017</v>
      </c>
      <c r="N8" s="157">
        <v>2022</v>
      </c>
      <c r="O8" s="157">
        <v>2032</v>
      </c>
    </row>
    <row r="9" spans="6:15" ht="11.25">
      <c r="F9" s="37" t="s">
        <v>221</v>
      </c>
      <c r="G9" s="9">
        <v>1</v>
      </c>
      <c r="H9" s="11">
        <f>SUMIF(F$2:F4,F9,H$2:H4)</f>
        <v>64</v>
      </c>
      <c r="I9" s="11">
        <f>SUMIF(F$2:F4,F9,I$2:I4)</f>
        <v>1.088</v>
      </c>
      <c r="J9" s="216"/>
      <c r="K9" s="216"/>
      <c r="L9" s="11">
        <f>_xlfn.SUMIFS(H$2:H$4,K$2:K$4,L$8,F$2:F$4,F9)</f>
        <v>0</v>
      </c>
      <c r="M9" s="11">
        <f>_xlfn.SUMIFS(H$2:H$4,K$2:K$4,M$8,F$2:F$4,F9)</f>
        <v>0</v>
      </c>
      <c r="N9" s="11">
        <f>_xlfn.SUMIFS(H$2:H$4,K$2:K$4,N$8,F$2:F$4,F9)</f>
        <v>64</v>
      </c>
      <c r="O9" s="11">
        <f>_xlfn.SUMIFS(H$2:H$4,K$2:K$4,O$8,F$2:F$4,F9)</f>
        <v>0</v>
      </c>
    </row>
    <row r="10" spans="6:15" ht="11.25">
      <c r="F10" s="37" t="s">
        <v>192</v>
      </c>
      <c r="G10" s="9">
        <v>2</v>
      </c>
      <c r="H10" s="11">
        <f>SUMIF(F$2:F4,F10,H$2:H4)</f>
        <v>36</v>
      </c>
      <c r="I10" s="11">
        <f>SUMIF(F$2:F4,F10,I$2:I4)</f>
        <v>0.6120000000000001</v>
      </c>
      <c r="J10" s="242"/>
      <c r="K10" s="216"/>
      <c r="L10" s="11">
        <f>_xlfn.SUMIFS(H$2:H$4,K$2:K$4,L$8,F$2:F$4,F10)</f>
        <v>0</v>
      </c>
      <c r="M10" s="11">
        <f>_xlfn.SUMIFS(H$2:H$4,K$2:K$4,M$8,F$2:F$4,F10)</f>
        <v>36</v>
      </c>
      <c r="N10" s="11">
        <f>_xlfn.SUMIFS(H$2:H$4,K$2:K$4,N$8,F$2:F$4,F10)</f>
        <v>0</v>
      </c>
      <c r="O10" s="11">
        <f>_xlfn.SUMIFS(H$2:H$4,K$2:K$4,O$8,F$2:F$4,F10)</f>
        <v>0</v>
      </c>
    </row>
    <row r="11" spans="6:15" ht="11.25">
      <c r="F11" s="9" t="s">
        <v>18</v>
      </c>
      <c r="G11" s="9"/>
      <c r="H11" s="11">
        <f>SUMIF(F$2:F4,F11,H$2:H4)</f>
        <v>0</v>
      </c>
      <c r="I11" s="11">
        <f>SUMIF(F$2:F4,F11,I$2:I4)</f>
        <v>0</v>
      </c>
      <c r="J11" s="216"/>
      <c r="K11" s="216">
        <v>765.58</v>
      </c>
      <c r="L11" s="11">
        <f>_xlfn.SUMIFS(H$2:H$4,K$2:K$4,L$8,F$2:F$4,F11)</f>
        <v>0</v>
      </c>
      <c r="M11" s="11">
        <f>_xlfn.SUMIFS(H$2:H$4,K$2:K$4,M$8,F$2:F$4,F11)</f>
        <v>0</v>
      </c>
      <c r="N11" s="11">
        <f>_xlfn.SUMIFS(H$2:H$4,K$2:K$4,N$8,F$2:F$4,F11)</f>
        <v>0</v>
      </c>
      <c r="O11" s="11">
        <f>_xlfn.SUMIFS(H$2:H$4,K$2:K$4,O$8,F$2:F$4,F11)</f>
        <v>0</v>
      </c>
    </row>
    <row r="12" spans="6:15" ht="11.25">
      <c r="F12" s="9" t="s">
        <v>10</v>
      </c>
      <c r="G12" s="9"/>
      <c r="H12" s="11">
        <f>SUMIF(G$2:G4,F12,H$2:H4)</f>
        <v>100</v>
      </c>
      <c r="I12" s="11">
        <f>SUMIF(G$2:G4,F12,I$2:I4)</f>
        <v>1.7</v>
      </c>
      <c r="J12" s="216"/>
      <c r="K12" s="216">
        <v>765.58</v>
      </c>
      <c r="L12" s="11">
        <f>_xlfn.SUMIFS(H2:H4,K2:K4,L8,G2:G4,F12)</f>
        <v>0</v>
      </c>
      <c r="M12" s="11">
        <f>_xlfn.SUMIFS(H2:H4,K2:K4,M8,G2:G4,F12)</f>
        <v>36</v>
      </c>
      <c r="N12" s="11">
        <f>_xlfn.SUMIFS(H2:H4,K2:K4,N8,G2:G4,F12)</f>
        <v>64</v>
      </c>
      <c r="O12" s="11">
        <f>_xlfn.SUMIFS(H2:H4,K2:K4,O8,G2:G4,F12)</f>
        <v>0</v>
      </c>
    </row>
    <row r="13" spans="6:15" ht="11.25">
      <c r="F13" s="9" t="s">
        <v>19</v>
      </c>
      <c r="G13" s="9"/>
      <c r="H13" s="11">
        <f>SUMIF(G$2:I5,#REF!,H$2:H5)</f>
        <v>0</v>
      </c>
      <c r="I13" s="11">
        <f>SUMIF(G$2:G4,F13,I$2:I4)</f>
        <v>0</v>
      </c>
      <c r="J13" s="216"/>
      <c r="K13" s="216"/>
      <c r="L13" s="11"/>
      <c r="M13" s="11"/>
      <c r="N13" s="68"/>
      <c r="O13" s="11"/>
    </row>
    <row r="14" spans="6:15" ht="11.25">
      <c r="F14" s="9" t="s">
        <v>20</v>
      </c>
      <c r="G14" s="9"/>
      <c r="H14" s="11">
        <f>SUMIF(G$2:I6,#REF!,H$2:H6)</f>
        <v>0</v>
      </c>
      <c r="I14" s="11">
        <f>SUMIF(G$2:I6,#REF!,I$2:I6)</f>
        <v>0</v>
      </c>
      <c r="J14" s="216"/>
      <c r="K14" s="216"/>
      <c r="L14" s="11"/>
      <c r="M14" s="11"/>
      <c r="N14" s="68"/>
      <c r="O14" s="11"/>
    </row>
    <row r="15" spans="6:15" ht="11.25">
      <c r="F15" s="9" t="s">
        <v>21</v>
      </c>
      <c r="G15" s="9"/>
      <c r="H15" s="11"/>
      <c r="I15" s="11"/>
      <c r="J15" s="216"/>
      <c r="K15" s="216"/>
      <c r="L15" s="11"/>
      <c r="M15" s="11"/>
      <c r="N15" s="68"/>
      <c r="O15" s="11"/>
    </row>
  </sheetData>
  <sheetProtection/>
  <autoFilter ref="A1:P4"/>
  <mergeCells count="1">
    <mergeCell ref="J7:O7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26" sqref="F26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75"/>
      <c r="N1" s="164"/>
      <c r="O1" s="164"/>
      <c r="P1" s="164"/>
    </row>
    <row r="2" spans="1:16" ht="11.25">
      <c r="A2" s="9">
        <v>1</v>
      </c>
      <c r="B2" s="9" t="s">
        <v>44</v>
      </c>
      <c r="C2" s="258" t="s">
        <v>36</v>
      </c>
      <c r="D2" s="85" t="s">
        <v>124</v>
      </c>
      <c r="E2" s="9">
        <v>2</v>
      </c>
      <c r="F2" s="9" t="str">
        <f aca="true" t="shared" si="0" ref="F2:F11">IF(E2=2,"budynek gospodarczy","budynek mieszkalny")</f>
        <v>budynek gospodarczy</v>
      </c>
      <c r="G2" s="9" t="s">
        <v>10</v>
      </c>
      <c r="H2" s="13">
        <f>4*4</f>
        <v>16</v>
      </c>
      <c r="I2" s="54">
        <f aca="true" t="shared" si="1" ref="I2:I11">0.017*H2</f>
        <v>0.272</v>
      </c>
      <c r="J2" s="86" t="s">
        <v>23</v>
      </c>
      <c r="K2" s="172" t="s">
        <v>70</v>
      </c>
      <c r="L2" s="192"/>
      <c r="M2" s="176"/>
      <c r="N2" s="174"/>
      <c r="O2" s="174"/>
      <c r="P2" s="174"/>
    </row>
    <row r="3" spans="1:16" ht="11.25">
      <c r="A3" s="9">
        <v>2</v>
      </c>
      <c r="B3" s="9" t="s">
        <v>44</v>
      </c>
      <c r="C3" s="258" t="s">
        <v>36</v>
      </c>
      <c r="D3" s="85" t="s">
        <v>124</v>
      </c>
      <c r="E3" s="9">
        <v>2</v>
      </c>
      <c r="F3" s="9" t="str">
        <f t="shared" si="0"/>
        <v>budynek gospodarczy</v>
      </c>
      <c r="G3" s="9" t="s">
        <v>10</v>
      </c>
      <c r="H3" s="13">
        <f>5*12</f>
        <v>60</v>
      </c>
      <c r="I3" s="54">
        <f t="shared" si="1"/>
        <v>1.02</v>
      </c>
      <c r="J3" s="86" t="s">
        <v>26</v>
      </c>
      <c r="K3" s="172" t="s">
        <v>72</v>
      </c>
      <c r="L3" s="192"/>
      <c r="M3" s="176"/>
      <c r="N3" s="174"/>
      <c r="O3" s="174"/>
      <c r="P3" s="174"/>
    </row>
    <row r="4" spans="1:16" ht="11.25">
      <c r="A4" s="9">
        <v>3</v>
      </c>
      <c r="B4" s="9" t="s">
        <v>44</v>
      </c>
      <c r="C4" s="258" t="s">
        <v>36</v>
      </c>
      <c r="D4" s="85" t="s">
        <v>124</v>
      </c>
      <c r="E4" s="9">
        <v>2</v>
      </c>
      <c r="F4" s="9" t="str">
        <f t="shared" si="0"/>
        <v>budynek gospodarczy</v>
      </c>
      <c r="G4" s="9" t="s">
        <v>10</v>
      </c>
      <c r="H4" s="13">
        <f>3*8</f>
        <v>24</v>
      </c>
      <c r="I4" s="54">
        <f t="shared" si="1"/>
        <v>0.40800000000000003</v>
      </c>
      <c r="J4" s="86" t="s">
        <v>23</v>
      </c>
      <c r="K4" s="172" t="s">
        <v>70</v>
      </c>
      <c r="L4" s="192"/>
      <c r="M4" s="176"/>
      <c r="N4" s="174"/>
      <c r="O4" s="174"/>
      <c r="P4" s="174"/>
    </row>
    <row r="5" spans="1:16" ht="11.25">
      <c r="A5" s="9">
        <v>4</v>
      </c>
      <c r="B5" s="9" t="s">
        <v>44</v>
      </c>
      <c r="C5" s="258" t="s">
        <v>36</v>
      </c>
      <c r="D5" s="85" t="s">
        <v>125</v>
      </c>
      <c r="E5" s="9">
        <v>2</v>
      </c>
      <c r="F5" s="9" t="str">
        <f t="shared" si="0"/>
        <v>budynek gospodarczy</v>
      </c>
      <c r="G5" s="9" t="s">
        <v>10</v>
      </c>
      <c r="H5" s="13">
        <f>(3+2)*5</f>
        <v>25</v>
      </c>
      <c r="I5" s="54">
        <f t="shared" si="1"/>
        <v>0.42500000000000004</v>
      </c>
      <c r="J5" s="86" t="s">
        <v>23</v>
      </c>
      <c r="K5" s="172" t="s">
        <v>70</v>
      </c>
      <c r="L5" s="192"/>
      <c r="M5" s="176"/>
      <c r="N5" s="174"/>
      <c r="O5" s="174"/>
      <c r="P5" s="174"/>
    </row>
    <row r="6" spans="1:16" ht="11.25">
      <c r="A6" s="9">
        <v>5</v>
      </c>
      <c r="B6" s="9" t="s">
        <v>44</v>
      </c>
      <c r="C6" s="258" t="s">
        <v>36</v>
      </c>
      <c r="D6" s="85" t="s">
        <v>125</v>
      </c>
      <c r="E6" s="9">
        <v>2</v>
      </c>
      <c r="F6" s="9" t="str">
        <f t="shared" si="0"/>
        <v>budynek gospodarczy</v>
      </c>
      <c r="G6" s="9" t="s">
        <v>10</v>
      </c>
      <c r="H6" s="13">
        <f>4*8</f>
        <v>32</v>
      </c>
      <c r="I6" s="54">
        <f t="shared" si="1"/>
        <v>0.544</v>
      </c>
      <c r="J6" s="86" t="s">
        <v>23</v>
      </c>
      <c r="K6" s="172" t="s">
        <v>70</v>
      </c>
      <c r="L6" s="192"/>
      <c r="M6" s="176"/>
      <c r="N6" s="174"/>
      <c r="O6" s="174"/>
      <c r="P6" s="174"/>
    </row>
    <row r="7" spans="1:16" ht="11.25">
      <c r="A7" s="9">
        <v>6</v>
      </c>
      <c r="B7" s="9" t="s">
        <v>44</v>
      </c>
      <c r="C7" s="258" t="s">
        <v>36</v>
      </c>
      <c r="D7" s="85" t="s">
        <v>125</v>
      </c>
      <c r="E7" s="9">
        <v>0</v>
      </c>
      <c r="F7" s="9" t="str">
        <f t="shared" si="0"/>
        <v>budynek mieszkalny</v>
      </c>
      <c r="G7" s="9" t="s">
        <v>10</v>
      </c>
      <c r="H7" s="13">
        <f>6*2*10</f>
        <v>120</v>
      </c>
      <c r="I7" s="54">
        <f t="shared" si="1"/>
        <v>2.04</v>
      </c>
      <c r="J7" s="86" t="s">
        <v>24</v>
      </c>
      <c r="K7" s="172" t="s">
        <v>71</v>
      </c>
      <c r="L7" s="192"/>
      <c r="M7" s="176"/>
      <c r="N7" s="174"/>
      <c r="O7" s="174"/>
      <c r="P7" s="174"/>
    </row>
    <row r="8" spans="1:16" ht="11.25">
      <c r="A8" s="9">
        <v>7</v>
      </c>
      <c r="B8" s="9" t="s">
        <v>44</v>
      </c>
      <c r="C8" s="258" t="s">
        <v>36</v>
      </c>
      <c r="D8" s="85" t="s">
        <v>125</v>
      </c>
      <c r="E8" s="9">
        <v>2</v>
      </c>
      <c r="F8" s="9" t="str">
        <f t="shared" si="0"/>
        <v>budynek gospodarczy</v>
      </c>
      <c r="G8" s="9" t="s">
        <v>10</v>
      </c>
      <c r="H8" s="13">
        <f>(4+7)*22</f>
        <v>242</v>
      </c>
      <c r="I8" s="54">
        <f t="shared" si="1"/>
        <v>4.114</v>
      </c>
      <c r="J8" s="86" t="s">
        <v>26</v>
      </c>
      <c r="K8" s="172" t="s">
        <v>72</v>
      </c>
      <c r="L8" s="192"/>
      <c r="M8" s="176"/>
      <c r="N8" s="174"/>
      <c r="O8" s="174"/>
      <c r="P8" s="174"/>
    </row>
    <row r="9" spans="1:16" ht="11.25">
      <c r="A9" s="9">
        <v>8</v>
      </c>
      <c r="B9" s="9" t="s">
        <v>44</v>
      </c>
      <c r="C9" s="258" t="s">
        <v>36</v>
      </c>
      <c r="D9" s="85" t="s">
        <v>125</v>
      </c>
      <c r="E9" s="9">
        <v>2</v>
      </c>
      <c r="F9" s="9" t="str">
        <f t="shared" si="0"/>
        <v>budynek gospodarczy</v>
      </c>
      <c r="G9" s="9" t="s">
        <v>10</v>
      </c>
      <c r="H9" s="13">
        <f>3*2*10</f>
        <v>60</v>
      </c>
      <c r="I9" s="54">
        <f t="shared" si="1"/>
        <v>1.02</v>
      </c>
      <c r="J9" s="86" t="s">
        <v>26</v>
      </c>
      <c r="K9" s="172" t="s">
        <v>72</v>
      </c>
      <c r="L9" s="192"/>
      <c r="M9" s="176"/>
      <c r="N9" s="174"/>
      <c r="O9" s="174"/>
      <c r="P9" s="174"/>
    </row>
    <row r="10" spans="1:16" ht="11.25">
      <c r="A10" s="9">
        <v>9</v>
      </c>
      <c r="B10" s="9" t="s">
        <v>44</v>
      </c>
      <c r="C10" s="258" t="s">
        <v>36</v>
      </c>
      <c r="D10" s="85" t="s">
        <v>125</v>
      </c>
      <c r="E10" s="9">
        <v>2</v>
      </c>
      <c r="F10" s="9" t="str">
        <f t="shared" si="0"/>
        <v>budynek gospodarczy</v>
      </c>
      <c r="G10" s="9" t="s">
        <v>10</v>
      </c>
      <c r="H10" s="13">
        <f>4*4</f>
        <v>16</v>
      </c>
      <c r="I10" s="54">
        <f t="shared" si="1"/>
        <v>0.272</v>
      </c>
      <c r="J10" s="86" t="s">
        <v>23</v>
      </c>
      <c r="K10" s="172" t="s">
        <v>70</v>
      </c>
      <c r="L10" s="192"/>
      <c r="M10" s="176"/>
      <c r="N10" s="174"/>
      <c r="O10" s="174"/>
      <c r="P10" s="174"/>
    </row>
    <row r="11" spans="1:16" ht="11.25">
      <c r="A11" s="9">
        <v>10</v>
      </c>
      <c r="B11" s="9" t="s">
        <v>44</v>
      </c>
      <c r="C11" s="258" t="s">
        <v>36</v>
      </c>
      <c r="D11" s="85" t="s">
        <v>126</v>
      </c>
      <c r="E11" s="9">
        <v>2</v>
      </c>
      <c r="F11" s="9" t="str">
        <f t="shared" si="0"/>
        <v>budynek gospodarczy</v>
      </c>
      <c r="G11" s="9" t="s">
        <v>10</v>
      </c>
      <c r="H11" s="13">
        <f>(4+6)*12</f>
        <v>120</v>
      </c>
      <c r="I11" s="54">
        <f t="shared" si="1"/>
        <v>2.04</v>
      </c>
      <c r="J11" s="86" t="s">
        <v>26</v>
      </c>
      <c r="K11" s="172" t="s">
        <v>72</v>
      </c>
      <c r="L11" s="192"/>
      <c r="M11" s="176"/>
      <c r="N11" s="174"/>
      <c r="O11" s="174"/>
      <c r="P11" s="174"/>
    </row>
    <row r="12" spans="9:12" ht="11.25">
      <c r="I12" s="55"/>
      <c r="J12" s="5"/>
      <c r="K12" s="5"/>
      <c r="L12" s="5"/>
    </row>
    <row r="13" spans="7:12" ht="11.25">
      <c r="G13" s="2" t="s">
        <v>11</v>
      </c>
      <c r="H13" s="12">
        <f>SUM(H2:H11)</f>
        <v>715</v>
      </c>
      <c r="I13" s="56">
        <f>SUM(I2:I11)</f>
        <v>12.155000000000001</v>
      </c>
      <c r="J13" s="6"/>
      <c r="K13" s="6"/>
      <c r="L13" s="6"/>
    </row>
    <row r="14" spans="9:15" ht="11.25">
      <c r="I14" s="55"/>
      <c r="J14" s="259" t="s">
        <v>14</v>
      </c>
      <c r="K14" s="260"/>
      <c r="L14" s="260"/>
      <c r="M14" s="260"/>
      <c r="N14" s="260"/>
      <c r="O14" s="260"/>
    </row>
    <row r="15" spans="6:15" ht="11.25">
      <c r="F15" s="7" t="s">
        <v>12</v>
      </c>
      <c r="G15" s="7" t="s">
        <v>13</v>
      </c>
      <c r="H15" s="7" t="s">
        <v>14</v>
      </c>
      <c r="I15" s="7" t="s">
        <v>15</v>
      </c>
      <c r="J15" s="215" t="s">
        <v>199</v>
      </c>
      <c r="K15" s="215" t="s">
        <v>200</v>
      </c>
      <c r="L15" s="157">
        <v>2015</v>
      </c>
      <c r="M15" s="8">
        <v>2017</v>
      </c>
      <c r="N15" s="8">
        <v>2022</v>
      </c>
      <c r="O15" s="8">
        <v>2032</v>
      </c>
    </row>
    <row r="16" spans="6:15" ht="11.25">
      <c r="F16" s="37" t="s">
        <v>221</v>
      </c>
      <c r="G16" s="9">
        <v>1</v>
      </c>
      <c r="H16" s="11">
        <f>SUMIF(F$2:F11,F16,H$2:H11)</f>
        <v>120</v>
      </c>
      <c r="I16" s="11">
        <f>SUMIF(F$2:F11,F16,I$2:I11)</f>
        <v>2.04</v>
      </c>
      <c r="J16" s="216"/>
      <c r="K16" s="216"/>
      <c r="L16" s="11">
        <f>_xlfn.SUMIFS(H$2:H$11,K$2:K$11,L$15,F$2:F$11,F16)</f>
        <v>0</v>
      </c>
      <c r="M16" s="11">
        <f>_xlfn.SUMIFS(H$2:H$11,K$2:K$11,M$15,F$2:F$11,F16)</f>
        <v>0</v>
      </c>
      <c r="N16" s="11">
        <f>_xlfn.SUMIFS(H$2:H$11,K$2:K$11,N$15,F$2:F$11,F16)</f>
        <v>120</v>
      </c>
      <c r="O16" s="11">
        <f>_xlfn.SUMIFS(H$2:H$11,K$2:K$11,O$15,F$2:F$11,F16)</f>
        <v>0</v>
      </c>
    </row>
    <row r="17" spans="6:15" ht="11.25">
      <c r="F17" s="37" t="s">
        <v>192</v>
      </c>
      <c r="G17" s="9">
        <v>9</v>
      </c>
      <c r="H17" s="11">
        <f>SUMIF(F$2:F11,F17,H$2:H11)</f>
        <v>595</v>
      </c>
      <c r="I17" s="11">
        <f>SUMIF(F$2:F11,F17,I$2:I11)</f>
        <v>10.114999999999998</v>
      </c>
      <c r="J17" s="242"/>
      <c r="K17" s="216"/>
      <c r="L17" s="11">
        <f>_xlfn.SUMIFS(H$2:H$11,K$2:K$11,L$15,F$2:F$11,F17)</f>
        <v>0</v>
      </c>
      <c r="M17" s="11">
        <f>_xlfn.SUMIFS(H$2:H$11,K$2:K$11,M$15,F$2:F$11,F17)</f>
        <v>113</v>
      </c>
      <c r="N17" s="11">
        <f>_xlfn.SUMIFS(H$2:H$11,K$2:K$11,N$15,F$2:F$11,F17)</f>
        <v>0</v>
      </c>
      <c r="O17" s="11">
        <f>_xlfn.SUMIFS(H$2:H$11,K$2:K$11,O$15,F$2:F$11,F17)</f>
        <v>482</v>
      </c>
    </row>
    <row r="18" spans="6:15" ht="11.25">
      <c r="F18" s="9" t="s">
        <v>18</v>
      </c>
      <c r="G18" s="9"/>
      <c r="H18" s="11">
        <f>SUMIF(F$2:F11,F18,H$2:H11)</f>
        <v>0</v>
      </c>
      <c r="I18" s="11">
        <f>SUMIF(F$2:F11,F18,I$2:I11)</f>
        <v>0</v>
      </c>
      <c r="J18" s="216"/>
      <c r="K18" s="216"/>
      <c r="L18" s="11">
        <f>_xlfn.SUMIFS(H$2:H$11,K$2:K$11,L$15,F$2:F$11,F18)</f>
        <v>0</v>
      </c>
      <c r="M18" s="11">
        <f>_xlfn.SUMIFS(H$2:H$11,K$2:K$11,M$15,F$2:F$11,F18)</f>
        <v>0</v>
      </c>
      <c r="N18" s="11">
        <f>_xlfn.SUMIFS(H$2:H$11,K$2:K$11,N$15,F$2:F$11,F18)</f>
        <v>0</v>
      </c>
      <c r="O18" s="11">
        <f>_xlfn.SUMIFS(H$2:H$11,K$2:K$11,O$15,F$2:F$11,F18)</f>
        <v>0</v>
      </c>
    </row>
    <row r="19" spans="6:15" ht="11.25">
      <c r="F19" s="9" t="s">
        <v>10</v>
      </c>
      <c r="G19" s="9"/>
      <c r="H19" s="11">
        <f>SUMIF(G$2:G11,F19,H$2:H11)</f>
        <v>715</v>
      </c>
      <c r="I19" s="11">
        <f>SUMIF(G$2:G11,F19,I$2:I11)</f>
        <v>12.155000000000001</v>
      </c>
      <c r="J19" s="216">
        <v>0</v>
      </c>
      <c r="K19" s="216"/>
      <c r="L19" s="11">
        <f>_xlfn.SUMIFS(H2:H11,K2:K11,L15,G2:G11,F19)</f>
        <v>0</v>
      </c>
      <c r="M19" s="11">
        <f>_xlfn.SUMIFS(H2:H11,K2:K11,M15,G2:G11,F19)</f>
        <v>113</v>
      </c>
      <c r="N19" s="11">
        <f>_xlfn.SUMIFS(H2:H11,K2:K11,N15,G2:G11,F19)</f>
        <v>120</v>
      </c>
      <c r="O19" s="11">
        <f>_xlfn.SUMIFS(H2:H11,K2:K11,O15,G2:G11,F19)</f>
        <v>482</v>
      </c>
    </row>
    <row r="20" spans="6:15" ht="11.25">
      <c r="F20" s="9" t="s">
        <v>19</v>
      </c>
      <c r="G20" s="9">
        <v>0</v>
      </c>
      <c r="H20" s="11">
        <f>SUMIF(G$2:G11,F20,H$2:H11)</f>
        <v>0</v>
      </c>
      <c r="I20" s="11">
        <f>SUMIF(G$2:G11,F20,I$2:I11)</f>
        <v>0</v>
      </c>
      <c r="J20" s="216"/>
      <c r="K20" s="216"/>
      <c r="L20" s="11"/>
      <c r="M20" s="11"/>
      <c r="N20" s="68"/>
      <c r="O20" s="11"/>
    </row>
    <row r="21" spans="6:15" ht="11.25">
      <c r="F21" s="9" t="s">
        <v>20</v>
      </c>
      <c r="G21" s="9">
        <v>0</v>
      </c>
      <c r="H21" s="11"/>
      <c r="I21" s="11"/>
      <c r="J21" s="216"/>
      <c r="K21" s="216"/>
      <c r="L21" s="11"/>
      <c r="M21" s="11"/>
      <c r="N21" s="68"/>
      <c r="O21" s="11"/>
    </row>
    <row r="22" spans="6:15" ht="11.25">
      <c r="F22" s="9" t="s">
        <v>21</v>
      </c>
      <c r="G22" s="9">
        <v>0</v>
      </c>
      <c r="H22" s="11"/>
      <c r="I22" s="11"/>
      <c r="J22" s="216"/>
      <c r="K22" s="216"/>
      <c r="L22" s="11"/>
      <c r="M22" s="11"/>
      <c r="N22" s="68"/>
      <c r="O22" s="11"/>
    </row>
  </sheetData>
  <sheetProtection/>
  <autoFilter ref="A1:P11"/>
  <mergeCells count="1">
    <mergeCell ref="J14:O14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Q43" sqref="Q43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88" t="s">
        <v>0</v>
      </c>
      <c r="B1" s="88" t="s">
        <v>1</v>
      </c>
      <c r="C1" s="88" t="s">
        <v>2</v>
      </c>
      <c r="D1" s="89" t="s">
        <v>3</v>
      </c>
      <c r="E1" s="88"/>
      <c r="F1" s="88" t="s">
        <v>4</v>
      </c>
      <c r="G1" s="88" t="s">
        <v>5</v>
      </c>
      <c r="H1" s="88" t="s">
        <v>6</v>
      </c>
      <c r="I1" s="88" t="s">
        <v>7</v>
      </c>
      <c r="J1" s="88" t="s">
        <v>8</v>
      </c>
      <c r="K1" s="177" t="s">
        <v>9</v>
      </c>
      <c r="L1" s="234"/>
      <c r="M1" s="184"/>
      <c r="N1" s="180"/>
      <c r="O1" s="180"/>
      <c r="P1" s="180"/>
    </row>
    <row r="2" spans="1:16" s="57" customFormat="1" ht="11.25">
      <c r="A2" s="90">
        <v>1</v>
      </c>
      <c r="B2" s="90" t="s">
        <v>41</v>
      </c>
      <c r="C2" s="91" t="s">
        <v>41</v>
      </c>
      <c r="D2" s="92" t="s">
        <v>64</v>
      </c>
      <c r="E2" s="90">
        <v>2</v>
      </c>
      <c r="F2" s="90" t="str">
        <f aca="true" t="shared" si="0" ref="F2:F33">IF(E2=2,"budynek gospodarczy","budynek mieszkalny")</f>
        <v>budynek gospodarczy</v>
      </c>
      <c r="G2" s="90" t="s">
        <v>10</v>
      </c>
      <c r="H2" s="93">
        <f>7*2*12</f>
        <v>168</v>
      </c>
      <c r="I2" s="94">
        <f>0.017*H2</f>
        <v>2.8560000000000003</v>
      </c>
      <c r="J2" s="95" t="s">
        <v>26</v>
      </c>
      <c r="K2" s="178" t="s">
        <v>72</v>
      </c>
      <c r="L2" s="185"/>
      <c r="M2" s="185"/>
      <c r="N2" s="181"/>
      <c r="O2" s="182"/>
      <c r="P2" s="182"/>
    </row>
    <row r="3" spans="1:16" s="57" customFormat="1" ht="11.25">
      <c r="A3" s="90">
        <f>A2+1</f>
        <v>2</v>
      </c>
      <c r="B3" s="90" t="s">
        <v>41</v>
      </c>
      <c r="C3" s="91" t="s">
        <v>41</v>
      </c>
      <c r="D3" s="92" t="s">
        <v>64</v>
      </c>
      <c r="E3" s="90">
        <v>2</v>
      </c>
      <c r="F3" s="90" t="str">
        <f t="shared" si="0"/>
        <v>budynek gospodarczy</v>
      </c>
      <c r="G3" s="90" t="s">
        <v>10</v>
      </c>
      <c r="H3" s="93">
        <f>7*2*15</f>
        <v>210</v>
      </c>
      <c r="I3" s="94">
        <f>0.017*H3</f>
        <v>3.5700000000000003</v>
      </c>
      <c r="J3" s="95" t="s">
        <v>26</v>
      </c>
      <c r="K3" s="178" t="s">
        <v>72</v>
      </c>
      <c r="L3" s="185"/>
      <c r="M3" s="185"/>
      <c r="N3" s="181"/>
      <c r="O3" s="182"/>
      <c r="P3" s="182"/>
    </row>
    <row r="4" spans="1:16" s="57" customFormat="1" ht="11.25">
      <c r="A4" s="90">
        <f>A3+1</f>
        <v>3</v>
      </c>
      <c r="B4" s="90" t="s">
        <v>41</v>
      </c>
      <c r="C4" s="91" t="s">
        <v>41</v>
      </c>
      <c r="D4" s="92" t="s">
        <v>64</v>
      </c>
      <c r="E4" s="90">
        <v>2</v>
      </c>
      <c r="F4" s="90" t="str">
        <f t="shared" si="0"/>
        <v>budynek gospodarczy</v>
      </c>
      <c r="G4" s="90" t="s">
        <v>10</v>
      </c>
      <c r="H4" s="93">
        <f>7*2*24</f>
        <v>336</v>
      </c>
      <c r="I4" s="94">
        <f>0.017*H4</f>
        <v>5.712000000000001</v>
      </c>
      <c r="J4" s="95" t="s">
        <v>26</v>
      </c>
      <c r="K4" s="178" t="s">
        <v>72</v>
      </c>
      <c r="L4" s="185"/>
      <c r="M4" s="185"/>
      <c r="N4" s="181"/>
      <c r="O4" s="182"/>
      <c r="P4" s="182"/>
    </row>
    <row r="5" spans="1:16" s="57" customFormat="1" ht="11.25">
      <c r="A5" s="90">
        <f>A4+1</f>
        <v>4</v>
      </c>
      <c r="B5" s="90" t="s">
        <v>41</v>
      </c>
      <c r="C5" s="91" t="s">
        <v>41</v>
      </c>
      <c r="D5" s="92" t="s">
        <v>64</v>
      </c>
      <c r="E5" s="90">
        <v>2</v>
      </c>
      <c r="F5" s="90" t="str">
        <f t="shared" si="0"/>
        <v>budynek gospodarczy</v>
      </c>
      <c r="G5" s="90" t="s">
        <v>10</v>
      </c>
      <c r="H5" s="96">
        <f>5*6</f>
        <v>30</v>
      </c>
      <c r="I5" s="94">
        <f>0.017*H5</f>
        <v>0.51</v>
      </c>
      <c r="J5" s="95" t="s">
        <v>23</v>
      </c>
      <c r="K5" s="178" t="s">
        <v>70</v>
      </c>
      <c r="L5" s="185"/>
      <c r="M5" s="185"/>
      <c r="N5" s="181"/>
      <c r="O5" s="182"/>
      <c r="P5" s="182"/>
    </row>
    <row r="6" spans="1:16" s="57" customFormat="1" ht="11.25">
      <c r="A6" s="90">
        <f>A5+1</f>
        <v>5</v>
      </c>
      <c r="B6" s="90" t="s">
        <v>41</v>
      </c>
      <c r="C6" s="91" t="s">
        <v>41</v>
      </c>
      <c r="D6" s="92" t="s">
        <v>64</v>
      </c>
      <c r="E6" s="90">
        <v>2</v>
      </c>
      <c r="F6" s="90" t="str">
        <f t="shared" si="0"/>
        <v>budynek gospodarczy</v>
      </c>
      <c r="G6" s="90" t="s">
        <v>10</v>
      </c>
      <c r="H6" s="96">
        <f>5*10</f>
        <v>50</v>
      </c>
      <c r="I6" s="94">
        <f>0.017*H6</f>
        <v>0.8500000000000001</v>
      </c>
      <c r="J6" s="95" t="s">
        <v>26</v>
      </c>
      <c r="K6" s="178" t="s">
        <v>72</v>
      </c>
      <c r="L6" s="185"/>
      <c r="M6" s="185"/>
      <c r="N6" s="181"/>
      <c r="O6" s="182"/>
      <c r="P6" s="182"/>
    </row>
    <row r="7" spans="1:16" s="57" customFormat="1" ht="11.25">
      <c r="A7" s="90">
        <v>6</v>
      </c>
      <c r="B7" s="90" t="s">
        <v>41</v>
      </c>
      <c r="C7" s="91" t="s">
        <v>41</v>
      </c>
      <c r="D7" s="92" t="s">
        <v>127</v>
      </c>
      <c r="E7" s="90">
        <v>2</v>
      </c>
      <c r="F7" s="90" t="str">
        <f t="shared" si="0"/>
        <v>budynek gospodarczy</v>
      </c>
      <c r="G7" s="90" t="s">
        <v>10</v>
      </c>
      <c r="H7" s="96">
        <f>3.5*4</f>
        <v>14</v>
      </c>
      <c r="I7" s="94">
        <f aca="true" t="shared" si="1" ref="I7:I34">0.017*H7</f>
        <v>0.23800000000000002</v>
      </c>
      <c r="J7" s="95" t="s">
        <v>23</v>
      </c>
      <c r="K7" s="178" t="s">
        <v>70</v>
      </c>
      <c r="L7" s="185"/>
      <c r="M7" s="185"/>
      <c r="N7" s="181"/>
      <c r="O7" s="182"/>
      <c r="P7" s="182"/>
    </row>
    <row r="8" spans="1:16" s="57" customFormat="1" ht="11.25">
      <c r="A8" s="90">
        <f aca="true" t="shared" si="2" ref="A8:A14">A7+1</f>
        <v>7</v>
      </c>
      <c r="B8" s="90" t="s">
        <v>41</v>
      </c>
      <c r="C8" s="91" t="s">
        <v>41</v>
      </c>
      <c r="D8" s="92" t="s">
        <v>127</v>
      </c>
      <c r="E8" s="90">
        <v>2</v>
      </c>
      <c r="F8" s="90" t="str">
        <f t="shared" si="0"/>
        <v>budynek gospodarczy</v>
      </c>
      <c r="G8" s="90" t="s">
        <v>10</v>
      </c>
      <c r="H8" s="96">
        <f>3*3</f>
        <v>9</v>
      </c>
      <c r="I8" s="94">
        <f t="shared" si="1"/>
        <v>0.15300000000000002</v>
      </c>
      <c r="J8" s="95" t="s">
        <v>23</v>
      </c>
      <c r="K8" s="178" t="s">
        <v>70</v>
      </c>
      <c r="L8" s="185"/>
      <c r="M8" s="185"/>
      <c r="N8" s="181"/>
      <c r="O8" s="182"/>
      <c r="P8" s="182"/>
    </row>
    <row r="9" spans="1:16" s="57" customFormat="1" ht="11.25">
      <c r="A9" s="90">
        <f t="shared" si="2"/>
        <v>8</v>
      </c>
      <c r="B9" s="90" t="s">
        <v>41</v>
      </c>
      <c r="C9" s="91" t="s">
        <v>41</v>
      </c>
      <c r="D9" s="92" t="s">
        <v>128</v>
      </c>
      <c r="E9" s="90">
        <v>2</v>
      </c>
      <c r="F9" s="90" t="str">
        <f t="shared" si="0"/>
        <v>budynek gospodarczy</v>
      </c>
      <c r="G9" s="90" t="s">
        <v>10</v>
      </c>
      <c r="H9" s="96">
        <f>5*5</f>
        <v>25</v>
      </c>
      <c r="I9" s="94">
        <f t="shared" si="1"/>
        <v>0.42500000000000004</v>
      </c>
      <c r="J9" s="95" t="s">
        <v>23</v>
      </c>
      <c r="K9" s="178" t="s">
        <v>70</v>
      </c>
      <c r="L9" s="185"/>
      <c r="M9" s="185"/>
      <c r="N9" s="181"/>
      <c r="O9" s="182"/>
      <c r="P9" s="182"/>
    </row>
    <row r="10" spans="1:16" s="57" customFormat="1" ht="11.25">
      <c r="A10" s="90">
        <f t="shared" si="2"/>
        <v>9</v>
      </c>
      <c r="B10" s="90" t="s">
        <v>41</v>
      </c>
      <c r="C10" s="91" t="s">
        <v>41</v>
      </c>
      <c r="D10" s="92" t="s">
        <v>128</v>
      </c>
      <c r="E10" s="90">
        <v>2</v>
      </c>
      <c r="F10" s="90" t="str">
        <f t="shared" si="0"/>
        <v>budynek gospodarczy</v>
      </c>
      <c r="G10" s="90" t="s">
        <v>10</v>
      </c>
      <c r="H10" s="96">
        <f>3*3</f>
        <v>9</v>
      </c>
      <c r="I10" s="94">
        <f t="shared" si="1"/>
        <v>0.15300000000000002</v>
      </c>
      <c r="J10" s="95" t="s">
        <v>23</v>
      </c>
      <c r="K10" s="178" t="s">
        <v>70</v>
      </c>
      <c r="L10" s="185"/>
      <c r="M10" s="185"/>
      <c r="N10" s="181"/>
      <c r="O10" s="182"/>
      <c r="P10" s="182"/>
    </row>
    <row r="11" spans="1:16" s="57" customFormat="1" ht="11.25">
      <c r="A11" s="90">
        <f t="shared" si="2"/>
        <v>10</v>
      </c>
      <c r="B11" s="90" t="s">
        <v>41</v>
      </c>
      <c r="C11" s="91" t="s">
        <v>41</v>
      </c>
      <c r="D11" s="92" t="s">
        <v>129</v>
      </c>
      <c r="E11" s="90">
        <v>2</v>
      </c>
      <c r="F11" s="90" t="str">
        <f t="shared" si="0"/>
        <v>budynek gospodarczy</v>
      </c>
      <c r="G11" s="90" t="s">
        <v>10</v>
      </c>
      <c r="H11" s="96">
        <f>2*3</f>
        <v>6</v>
      </c>
      <c r="I11" s="94">
        <f t="shared" si="1"/>
        <v>0.10200000000000001</v>
      </c>
      <c r="J11" s="95" t="s">
        <v>23</v>
      </c>
      <c r="K11" s="178" t="s">
        <v>70</v>
      </c>
      <c r="L11" s="185"/>
      <c r="M11" s="185"/>
      <c r="N11" s="181"/>
      <c r="O11" s="182"/>
      <c r="P11" s="182"/>
    </row>
    <row r="12" spans="1:16" s="57" customFormat="1" ht="11.25">
      <c r="A12" s="90">
        <f t="shared" si="2"/>
        <v>11</v>
      </c>
      <c r="B12" s="90" t="s">
        <v>41</v>
      </c>
      <c r="C12" s="91" t="s">
        <v>41</v>
      </c>
      <c r="D12" s="92" t="s">
        <v>130</v>
      </c>
      <c r="E12" s="90">
        <v>2</v>
      </c>
      <c r="F12" s="90" t="str">
        <f t="shared" si="0"/>
        <v>budynek gospodarczy</v>
      </c>
      <c r="G12" s="90" t="s">
        <v>10</v>
      </c>
      <c r="H12" s="96">
        <f>3*2*8</f>
        <v>48</v>
      </c>
      <c r="I12" s="94">
        <f t="shared" si="1"/>
        <v>0.8160000000000001</v>
      </c>
      <c r="J12" s="95" t="s">
        <v>23</v>
      </c>
      <c r="K12" s="178" t="s">
        <v>70</v>
      </c>
      <c r="L12" s="185"/>
      <c r="M12" s="185"/>
      <c r="N12" s="181"/>
      <c r="O12" s="182"/>
      <c r="P12" s="182"/>
    </row>
    <row r="13" spans="1:16" s="57" customFormat="1" ht="11.25">
      <c r="A13" s="90">
        <f t="shared" si="2"/>
        <v>12</v>
      </c>
      <c r="B13" s="90" t="s">
        <v>41</v>
      </c>
      <c r="C13" s="91" t="s">
        <v>41</v>
      </c>
      <c r="D13" s="92" t="s">
        <v>131</v>
      </c>
      <c r="E13" s="90">
        <v>2</v>
      </c>
      <c r="F13" s="90" t="str">
        <f t="shared" si="0"/>
        <v>budynek gospodarczy</v>
      </c>
      <c r="G13" s="90" t="s">
        <v>10</v>
      </c>
      <c r="H13" s="96">
        <f>5*4</f>
        <v>20</v>
      </c>
      <c r="I13" s="94">
        <f t="shared" si="1"/>
        <v>0.34</v>
      </c>
      <c r="J13" s="95" t="s">
        <v>23</v>
      </c>
      <c r="K13" s="178" t="s">
        <v>70</v>
      </c>
      <c r="L13" s="185"/>
      <c r="M13" s="185"/>
      <c r="N13" s="181"/>
      <c r="O13" s="182"/>
      <c r="P13" s="182"/>
    </row>
    <row r="14" spans="1:16" s="57" customFormat="1" ht="11.25">
      <c r="A14" s="90">
        <f t="shared" si="2"/>
        <v>13</v>
      </c>
      <c r="B14" s="90" t="s">
        <v>41</v>
      </c>
      <c r="C14" s="91" t="s">
        <v>41</v>
      </c>
      <c r="D14" s="92" t="s">
        <v>132</v>
      </c>
      <c r="E14" s="90">
        <v>2</v>
      </c>
      <c r="F14" s="90" t="str">
        <f t="shared" si="0"/>
        <v>budynek gospodarczy</v>
      </c>
      <c r="G14" s="90" t="s">
        <v>10</v>
      </c>
      <c r="H14" s="96">
        <f>4*7</f>
        <v>28</v>
      </c>
      <c r="I14" s="94">
        <f t="shared" si="1"/>
        <v>0.47600000000000003</v>
      </c>
      <c r="J14" s="95" t="s">
        <v>23</v>
      </c>
      <c r="K14" s="178" t="s">
        <v>70</v>
      </c>
      <c r="L14" s="185"/>
      <c r="M14" s="185"/>
      <c r="N14" s="181"/>
      <c r="O14" s="182"/>
      <c r="P14" s="182"/>
    </row>
    <row r="15" spans="1:16" s="57" customFormat="1" ht="11.25">
      <c r="A15" s="90">
        <v>14</v>
      </c>
      <c r="B15" s="90" t="s">
        <v>41</v>
      </c>
      <c r="C15" s="91" t="s">
        <v>41</v>
      </c>
      <c r="D15" s="92" t="s">
        <v>133</v>
      </c>
      <c r="E15" s="90">
        <v>2</v>
      </c>
      <c r="F15" s="90" t="str">
        <f t="shared" si="0"/>
        <v>budynek gospodarczy</v>
      </c>
      <c r="G15" s="90" t="s">
        <v>10</v>
      </c>
      <c r="H15" s="96">
        <f>4*10</f>
        <v>40</v>
      </c>
      <c r="I15" s="94">
        <f t="shared" si="1"/>
        <v>0.68</v>
      </c>
      <c r="J15" s="95" t="s">
        <v>23</v>
      </c>
      <c r="K15" s="178" t="s">
        <v>70</v>
      </c>
      <c r="L15" s="185"/>
      <c r="M15" s="185"/>
      <c r="N15" s="181"/>
      <c r="O15" s="182"/>
      <c r="P15" s="182"/>
    </row>
    <row r="16" spans="1:16" s="69" customFormat="1" ht="11.25">
      <c r="A16" s="90">
        <f>A15+1</f>
        <v>15</v>
      </c>
      <c r="B16" s="90" t="s">
        <v>41</v>
      </c>
      <c r="C16" s="91" t="s">
        <v>41</v>
      </c>
      <c r="D16" s="92" t="s">
        <v>133</v>
      </c>
      <c r="E16" s="90">
        <v>2</v>
      </c>
      <c r="F16" s="90" t="str">
        <f t="shared" si="0"/>
        <v>budynek gospodarczy</v>
      </c>
      <c r="G16" s="90" t="s">
        <v>10</v>
      </c>
      <c r="H16" s="96">
        <v>48</v>
      </c>
      <c r="I16" s="94">
        <f t="shared" si="1"/>
        <v>0.8160000000000001</v>
      </c>
      <c r="J16" s="95" t="s">
        <v>26</v>
      </c>
      <c r="K16" s="178" t="s">
        <v>70</v>
      </c>
      <c r="L16" s="185"/>
      <c r="M16" s="185"/>
      <c r="N16" s="181"/>
      <c r="O16" s="182"/>
      <c r="P16" s="182"/>
    </row>
    <row r="17" spans="1:16" s="57" customFormat="1" ht="11.25">
      <c r="A17" s="90">
        <v>16</v>
      </c>
      <c r="B17" s="90" t="s">
        <v>41</v>
      </c>
      <c r="C17" s="91" t="s">
        <v>41</v>
      </c>
      <c r="D17" s="92" t="s">
        <v>134</v>
      </c>
      <c r="E17" s="90">
        <v>2</v>
      </c>
      <c r="F17" s="90" t="str">
        <f t="shared" si="0"/>
        <v>budynek gospodarczy</v>
      </c>
      <c r="G17" s="90" t="s">
        <v>10</v>
      </c>
      <c r="H17" s="96">
        <f>3*10</f>
        <v>30</v>
      </c>
      <c r="I17" s="94">
        <f t="shared" si="1"/>
        <v>0.51</v>
      </c>
      <c r="J17" s="95" t="s">
        <v>23</v>
      </c>
      <c r="K17" s="178" t="s">
        <v>70</v>
      </c>
      <c r="L17" s="185"/>
      <c r="M17" s="185"/>
      <c r="N17" s="181"/>
      <c r="O17" s="182"/>
      <c r="P17" s="182"/>
    </row>
    <row r="18" spans="1:16" s="57" customFormat="1" ht="11.25">
      <c r="A18" s="90">
        <f>A17+1</f>
        <v>17</v>
      </c>
      <c r="B18" s="90" t="s">
        <v>41</v>
      </c>
      <c r="C18" s="91" t="s">
        <v>41</v>
      </c>
      <c r="D18" s="92" t="s">
        <v>135</v>
      </c>
      <c r="E18" s="90">
        <v>2</v>
      </c>
      <c r="F18" s="90" t="str">
        <f t="shared" si="0"/>
        <v>budynek gospodarczy</v>
      </c>
      <c r="G18" s="90" t="s">
        <v>10</v>
      </c>
      <c r="H18" s="96">
        <f>(2*3)+1</f>
        <v>7</v>
      </c>
      <c r="I18" s="94">
        <f t="shared" si="1"/>
        <v>0.11900000000000001</v>
      </c>
      <c r="J18" s="95" t="s">
        <v>23</v>
      </c>
      <c r="K18" s="178" t="s">
        <v>70</v>
      </c>
      <c r="L18" s="185"/>
      <c r="M18" s="185"/>
      <c r="N18" s="181"/>
      <c r="O18" s="182"/>
      <c r="P18" s="182"/>
    </row>
    <row r="19" spans="1:16" s="57" customFormat="1" ht="11.25">
      <c r="A19" s="90">
        <f>A18+1</f>
        <v>18</v>
      </c>
      <c r="B19" s="90" t="s">
        <v>41</v>
      </c>
      <c r="C19" s="91" t="s">
        <v>41</v>
      </c>
      <c r="D19" s="92" t="s">
        <v>135</v>
      </c>
      <c r="E19" s="90">
        <v>2</v>
      </c>
      <c r="F19" s="90" t="str">
        <f t="shared" si="0"/>
        <v>budynek gospodarczy</v>
      </c>
      <c r="G19" s="90" t="s">
        <v>10</v>
      </c>
      <c r="H19" s="96">
        <f>5*10</f>
        <v>50</v>
      </c>
      <c r="I19" s="94">
        <f t="shared" si="1"/>
        <v>0.8500000000000001</v>
      </c>
      <c r="J19" s="95" t="s">
        <v>26</v>
      </c>
      <c r="K19" s="178" t="s">
        <v>72</v>
      </c>
      <c r="L19" s="185"/>
      <c r="M19" s="185"/>
      <c r="N19" s="181"/>
      <c r="O19" s="182"/>
      <c r="P19" s="182"/>
    </row>
    <row r="20" spans="1:16" s="57" customFormat="1" ht="11.25">
      <c r="A20" s="90">
        <v>19</v>
      </c>
      <c r="B20" s="158" t="s">
        <v>41</v>
      </c>
      <c r="C20" s="159" t="s">
        <v>41</v>
      </c>
      <c r="D20" s="160" t="s">
        <v>196</v>
      </c>
      <c r="E20" s="90">
        <v>2</v>
      </c>
      <c r="F20" s="90" t="str">
        <f t="shared" si="0"/>
        <v>budynek gospodarczy</v>
      </c>
      <c r="G20" s="158" t="s">
        <v>10</v>
      </c>
      <c r="H20" s="96">
        <v>60</v>
      </c>
      <c r="I20" s="94">
        <f t="shared" si="1"/>
        <v>1.02</v>
      </c>
      <c r="J20" s="161" t="s">
        <v>24</v>
      </c>
      <c r="K20" s="179" t="s">
        <v>203</v>
      </c>
      <c r="L20" s="235"/>
      <c r="M20" s="185"/>
      <c r="N20" s="181"/>
      <c r="O20" s="182"/>
      <c r="P20" s="182"/>
    </row>
    <row r="21" spans="1:16" s="57" customFormat="1" ht="11.25">
      <c r="A21" s="90">
        <v>20</v>
      </c>
      <c r="B21" s="158" t="s">
        <v>41</v>
      </c>
      <c r="C21" s="159" t="s">
        <v>41</v>
      </c>
      <c r="D21" s="160" t="s">
        <v>196</v>
      </c>
      <c r="E21" s="90">
        <v>2</v>
      </c>
      <c r="F21" s="90" t="str">
        <f t="shared" si="0"/>
        <v>budynek gospodarczy</v>
      </c>
      <c r="G21" s="158" t="s">
        <v>10</v>
      </c>
      <c r="H21" s="96">
        <v>15</v>
      </c>
      <c r="I21" s="94">
        <f t="shared" si="1"/>
        <v>0.255</v>
      </c>
      <c r="J21" s="161" t="s">
        <v>24</v>
      </c>
      <c r="K21" s="179" t="s">
        <v>203</v>
      </c>
      <c r="L21" s="235"/>
      <c r="M21" s="185"/>
      <c r="N21" s="181"/>
      <c r="O21" s="182"/>
      <c r="P21" s="182"/>
    </row>
    <row r="22" spans="1:16" s="57" customFormat="1" ht="11.25">
      <c r="A22" s="90">
        <v>21</v>
      </c>
      <c r="B22" s="158" t="s">
        <v>41</v>
      </c>
      <c r="C22" s="159" t="s">
        <v>41</v>
      </c>
      <c r="D22" s="160" t="s">
        <v>196</v>
      </c>
      <c r="E22" s="90">
        <v>2</v>
      </c>
      <c r="F22" s="90" t="str">
        <f t="shared" si="0"/>
        <v>budynek gospodarczy</v>
      </c>
      <c r="G22" s="158" t="s">
        <v>10</v>
      </c>
      <c r="H22" s="96">
        <v>50</v>
      </c>
      <c r="I22" s="94">
        <f t="shared" si="1"/>
        <v>0.8500000000000001</v>
      </c>
      <c r="J22" s="161" t="s">
        <v>24</v>
      </c>
      <c r="K22" s="179" t="s">
        <v>203</v>
      </c>
      <c r="L22" s="235"/>
      <c r="M22" s="185"/>
      <c r="N22" s="181"/>
      <c r="O22" s="182"/>
      <c r="P22" s="182"/>
    </row>
    <row r="23" spans="1:16" s="57" customFormat="1" ht="11.25">
      <c r="A23" s="90">
        <v>22</v>
      </c>
      <c r="B23" s="158" t="s">
        <v>41</v>
      </c>
      <c r="C23" s="159" t="s">
        <v>41</v>
      </c>
      <c r="D23" s="160" t="s">
        <v>196</v>
      </c>
      <c r="E23" s="90">
        <v>2</v>
      </c>
      <c r="F23" s="90" t="str">
        <f t="shared" si="0"/>
        <v>budynek gospodarczy</v>
      </c>
      <c r="G23" s="158" t="s">
        <v>10</v>
      </c>
      <c r="H23" s="96">
        <v>25</v>
      </c>
      <c r="I23" s="94">
        <f t="shared" si="1"/>
        <v>0.42500000000000004</v>
      </c>
      <c r="J23" s="161" t="s">
        <v>24</v>
      </c>
      <c r="K23" s="179" t="s">
        <v>203</v>
      </c>
      <c r="L23" s="235"/>
      <c r="M23" s="185"/>
      <c r="N23" s="181"/>
      <c r="O23" s="182"/>
      <c r="P23" s="182"/>
    </row>
    <row r="24" spans="1:16" s="69" customFormat="1" ht="11.25">
      <c r="A24" s="90">
        <v>23</v>
      </c>
      <c r="B24" s="90" t="s">
        <v>41</v>
      </c>
      <c r="C24" s="91" t="s">
        <v>41</v>
      </c>
      <c r="D24" s="92" t="s">
        <v>196</v>
      </c>
      <c r="E24" s="90">
        <v>2</v>
      </c>
      <c r="F24" s="90" t="str">
        <f t="shared" si="0"/>
        <v>budynek gospodarczy</v>
      </c>
      <c r="G24" s="90" t="s">
        <v>10</v>
      </c>
      <c r="H24" s="96">
        <v>150</v>
      </c>
      <c r="I24" s="94">
        <f>0.017*H24</f>
        <v>2.5500000000000003</v>
      </c>
      <c r="J24" s="95" t="s">
        <v>26</v>
      </c>
      <c r="K24" s="179" t="s">
        <v>203</v>
      </c>
      <c r="L24" s="235"/>
      <c r="M24" s="185"/>
      <c r="N24" s="181"/>
      <c r="O24" s="182"/>
      <c r="P24" s="182"/>
    </row>
    <row r="25" spans="1:16" s="69" customFormat="1" ht="11.25">
      <c r="A25" s="90">
        <v>24</v>
      </c>
      <c r="B25" s="158" t="s">
        <v>41</v>
      </c>
      <c r="C25" s="159" t="s">
        <v>41</v>
      </c>
      <c r="D25" s="160" t="s">
        <v>209</v>
      </c>
      <c r="E25" s="90">
        <v>3</v>
      </c>
      <c r="F25" s="158" t="s">
        <v>18</v>
      </c>
      <c r="G25" s="158" t="s">
        <v>10</v>
      </c>
      <c r="H25" s="96">
        <v>50</v>
      </c>
      <c r="I25" s="94">
        <f>0.017*H25</f>
        <v>0.8500000000000001</v>
      </c>
      <c r="J25" s="161" t="s">
        <v>23</v>
      </c>
      <c r="K25" s="179" t="s">
        <v>203</v>
      </c>
      <c r="L25" s="235"/>
      <c r="M25" s="185"/>
      <c r="N25" s="181"/>
      <c r="O25" s="182"/>
      <c r="P25" s="182"/>
    </row>
    <row r="26" spans="1:16" s="69" customFormat="1" ht="11.25">
      <c r="A26" s="90">
        <v>25</v>
      </c>
      <c r="B26" s="158" t="s">
        <v>41</v>
      </c>
      <c r="C26" s="159" t="s">
        <v>41</v>
      </c>
      <c r="D26" s="160" t="s">
        <v>208</v>
      </c>
      <c r="E26" s="90">
        <v>3</v>
      </c>
      <c r="F26" s="158" t="s">
        <v>18</v>
      </c>
      <c r="G26" s="158" t="s">
        <v>10</v>
      </c>
      <c r="H26" s="96">
        <v>20</v>
      </c>
      <c r="I26" s="94">
        <f>0.017*H26</f>
        <v>0.34</v>
      </c>
      <c r="J26" s="161" t="s">
        <v>23</v>
      </c>
      <c r="K26" s="179" t="s">
        <v>203</v>
      </c>
      <c r="L26" s="235"/>
      <c r="M26" s="185"/>
      <c r="N26" s="181"/>
      <c r="O26" s="182"/>
      <c r="P26" s="182"/>
    </row>
    <row r="27" spans="1:16" s="69" customFormat="1" ht="11.25">
      <c r="A27" s="90">
        <v>26</v>
      </c>
      <c r="B27" s="158" t="s">
        <v>41</v>
      </c>
      <c r="C27" s="159" t="s">
        <v>41</v>
      </c>
      <c r="D27" s="160" t="s">
        <v>207</v>
      </c>
      <c r="E27" s="90">
        <v>3</v>
      </c>
      <c r="F27" s="158" t="s">
        <v>18</v>
      </c>
      <c r="G27" s="158" t="s">
        <v>10</v>
      </c>
      <c r="H27" s="96">
        <v>200</v>
      </c>
      <c r="I27" s="94">
        <f>0.017*H27</f>
        <v>3.4000000000000004</v>
      </c>
      <c r="J27" s="161" t="s">
        <v>23</v>
      </c>
      <c r="K27" s="179" t="s">
        <v>203</v>
      </c>
      <c r="L27" s="235"/>
      <c r="M27" s="185"/>
      <c r="N27" s="181"/>
      <c r="O27" s="182"/>
      <c r="P27" s="182"/>
    </row>
    <row r="28" spans="1:16" s="69" customFormat="1" ht="11.25">
      <c r="A28" s="90">
        <v>27</v>
      </c>
      <c r="B28" s="158" t="s">
        <v>41</v>
      </c>
      <c r="C28" s="159" t="s">
        <v>41</v>
      </c>
      <c r="D28" s="160" t="s">
        <v>206</v>
      </c>
      <c r="E28" s="90">
        <v>3</v>
      </c>
      <c r="F28" s="158" t="s">
        <v>18</v>
      </c>
      <c r="G28" s="158" t="s">
        <v>10</v>
      </c>
      <c r="H28" s="96">
        <v>50</v>
      </c>
      <c r="I28" s="94">
        <f>0.017*H28</f>
        <v>0.8500000000000001</v>
      </c>
      <c r="J28" s="161" t="s">
        <v>23</v>
      </c>
      <c r="K28" s="179" t="s">
        <v>203</v>
      </c>
      <c r="L28" s="235"/>
      <c r="M28" s="185"/>
      <c r="N28" s="181"/>
      <c r="O28" s="182"/>
      <c r="P28" s="182"/>
    </row>
    <row r="29" spans="1:16" s="69" customFormat="1" ht="11.25">
      <c r="A29" s="90">
        <v>28</v>
      </c>
      <c r="B29" s="158" t="s">
        <v>41</v>
      </c>
      <c r="C29" s="159" t="s">
        <v>41</v>
      </c>
      <c r="D29" s="160" t="s">
        <v>206</v>
      </c>
      <c r="E29" s="90">
        <v>2</v>
      </c>
      <c r="F29" s="90" t="str">
        <f t="shared" si="0"/>
        <v>budynek gospodarczy</v>
      </c>
      <c r="G29" s="158" t="s">
        <v>10</v>
      </c>
      <c r="H29" s="96">
        <v>150</v>
      </c>
      <c r="I29" s="94">
        <f t="shared" si="1"/>
        <v>2.5500000000000003</v>
      </c>
      <c r="J29" s="161" t="s">
        <v>24</v>
      </c>
      <c r="K29" s="179" t="s">
        <v>203</v>
      </c>
      <c r="L29" s="235"/>
      <c r="M29" s="185"/>
      <c r="N29" s="181"/>
      <c r="O29" s="182"/>
      <c r="P29" s="182"/>
    </row>
    <row r="30" spans="1:16" s="69" customFormat="1" ht="11.25">
      <c r="A30" s="90">
        <v>29</v>
      </c>
      <c r="B30" s="90" t="s">
        <v>41</v>
      </c>
      <c r="C30" s="91" t="s">
        <v>41</v>
      </c>
      <c r="D30" s="92" t="s">
        <v>136</v>
      </c>
      <c r="E30" s="90">
        <v>2</v>
      </c>
      <c r="F30" s="90" t="str">
        <f t="shared" si="0"/>
        <v>budynek gospodarczy</v>
      </c>
      <c r="G30" s="90" t="s">
        <v>10</v>
      </c>
      <c r="H30" s="96">
        <f>2*5</f>
        <v>10</v>
      </c>
      <c r="I30" s="94">
        <f t="shared" si="1"/>
        <v>0.17</v>
      </c>
      <c r="J30" s="95" t="s">
        <v>23</v>
      </c>
      <c r="K30" s="178" t="s">
        <v>70</v>
      </c>
      <c r="L30" s="185"/>
      <c r="M30" s="185"/>
      <c r="N30" s="181"/>
      <c r="O30" s="182"/>
      <c r="P30" s="182"/>
    </row>
    <row r="31" spans="1:16" s="57" customFormat="1" ht="11.25">
      <c r="A31" s="90">
        <v>30</v>
      </c>
      <c r="B31" s="90" t="s">
        <v>41</v>
      </c>
      <c r="C31" s="91" t="s">
        <v>41</v>
      </c>
      <c r="D31" s="92" t="s">
        <v>42</v>
      </c>
      <c r="E31" s="90">
        <v>2</v>
      </c>
      <c r="F31" s="90" t="str">
        <f t="shared" si="0"/>
        <v>budynek gospodarczy</v>
      </c>
      <c r="G31" s="90" t="s">
        <v>10</v>
      </c>
      <c r="H31" s="96">
        <f>4*2*20</f>
        <v>160</v>
      </c>
      <c r="I31" s="94">
        <f t="shared" si="1"/>
        <v>2.72</v>
      </c>
      <c r="J31" s="95" t="s">
        <v>26</v>
      </c>
      <c r="K31" s="178" t="s">
        <v>72</v>
      </c>
      <c r="L31" s="185"/>
      <c r="M31" s="185"/>
      <c r="N31" s="181"/>
      <c r="O31" s="182"/>
      <c r="P31" s="182"/>
    </row>
    <row r="32" spans="1:16" s="57" customFormat="1" ht="11.25">
      <c r="A32" s="90">
        <v>31</v>
      </c>
      <c r="B32" s="90" t="s">
        <v>41</v>
      </c>
      <c r="C32" s="91" t="s">
        <v>41</v>
      </c>
      <c r="D32" s="92" t="s">
        <v>42</v>
      </c>
      <c r="E32" s="90">
        <v>2</v>
      </c>
      <c r="F32" s="90" t="str">
        <f t="shared" si="0"/>
        <v>budynek gospodarczy</v>
      </c>
      <c r="G32" s="90" t="s">
        <v>10</v>
      </c>
      <c r="H32" s="96">
        <f>1*2*2</f>
        <v>4</v>
      </c>
      <c r="I32" s="94">
        <f t="shared" si="1"/>
        <v>0.068</v>
      </c>
      <c r="J32" s="95" t="s">
        <v>23</v>
      </c>
      <c r="K32" s="178" t="s">
        <v>70</v>
      </c>
      <c r="L32" s="185"/>
      <c r="M32" s="185"/>
      <c r="N32" s="181"/>
      <c r="O32" s="182"/>
      <c r="P32" s="182"/>
    </row>
    <row r="33" spans="1:16" s="57" customFormat="1" ht="11.25">
      <c r="A33" s="90">
        <v>32</v>
      </c>
      <c r="B33" s="90" t="s">
        <v>41</v>
      </c>
      <c r="C33" s="91" t="s">
        <v>41</v>
      </c>
      <c r="D33" s="92" t="s">
        <v>43</v>
      </c>
      <c r="E33" s="90">
        <v>0</v>
      </c>
      <c r="F33" s="90" t="str">
        <f t="shared" si="0"/>
        <v>budynek mieszkalny</v>
      </c>
      <c r="G33" s="90" t="s">
        <v>10</v>
      </c>
      <c r="H33" s="96">
        <f>4.5*6*12</f>
        <v>324</v>
      </c>
      <c r="I33" s="94">
        <f t="shared" si="1"/>
        <v>5.508</v>
      </c>
      <c r="J33" s="95" t="s">
        <v>24</v>
      </c>
      <c r="K33" s="178" t="s">
        <v>71</v>
      </c>
      <c r="L33" s="185"/>
      <c r="M33" s="185"/>
      <c r="N33" s="183"/>
      <c r="O33" s="182"/>
      <c r="P33" s="182"/>
    </row>
    <row r="34" spans="1:16" s="57" customFormat="1" ht="22.5">
      <c r="A34" s="90">
        <v>33</v>
      </c>
      <c r="B34" s="90" t="s">
        <v>41</v>
      </c>
      <c r="C34" s="91" t="s">
        <v>138</v>
      </c>
      <c r="D34" s="92" t="s">
        <v>137</v>
      </c>
      <c r="E34" s="90"/>
      <c r="F34" s="90"/>
      <c r="G34" s="90" t="s">
        <v>10</v>
      </c>
      <c r="H34" s="93"/>
      <c r="I34" s="94">
        <f t="shared" si="1"/>
        <v>0</v>
      </c>
      <c r="J34" s="95"/>
      <c r="K34" s="178"/>
      <c r="L34" s="185"/>
      <c r="M34" s="185"/>
      <c r="N34" s="181"/>
      <c r="O34" s="182"/>
      <c r="P34" s="182"/>
    </row>
    <row r="35" spans="1:12" ht="11.25">
      <c r="A35" s="87"/>
      <c r="J35" s="5"/>
      <c r="K35" s="5"/>
      <c r="L35" s="5"/>
    </row>
    <row r="36" spans="1:12" ht="11.25">
      <c r="A36" s="15"/>
      <c r="G36" s="2" t="s">
        <v>11</v>
      </c>
      <c r="H36" s="12">
        <f>SUM(H2:H34)</f>
        <v>2396</v>
      </c>
      <c r="I36" s="56">
        <f>SUM(I2:I34)</f>
        <v>40.732000000000006</v>
      </c>
      <c r="J36" s="6"/>
      <c r="K36" s="6"/>
      <c r="L36" s="6"/>
    </row>
    <row r="37" spans="10:15" ht="11.25">
      <c r="J37" s="259" t="s">
        <v>14</v>
      </c>
      <c r="K37" s="260"/>
      <c r="L37" s="260"/>
      <c r="M37" s="260"/>
      <c r="N37" s="260"/>
      <c r="O37" s="260"/>
    </row>
    <row r="38" spans="6:15" ht="11.25">
      <c r="F38" s="7" t="s">
        <v>12</v>
      </c>
      <c r="G38" s="7" t="s">
        <v>13</v>
      </c>
      <c r="H38" s="7" t="s">
        <v>14</v>
      </c>
      <c r="I38" s="7" t="s">
        <v>15</v>
      </c>
      <c r="J38" s="215" t="s">
        <v>199</v>
      </c>
      <c r="K38" s="215" t="s">
        <v>200</v>
      </c>
      <c r="L38" s="157">
        <v>2015</v>
      </c>
      <c r="M38" s="157">
        <v>2017</v>
      </c>
      <c r="N38" s="157">
        <v>2022</v>
      </c>
      <c r="O38" s="157">
        <v>2032</v>
      </c>
    </row>
    <row r="39" spans="6:15" ht="11.25">
      <c r="F39" s="37" t="s">
        <v>221</v>
      </c>
      <c r="G39" s="9">
        <v>1</v>
      </c>
      <c r="H39" s="11">
        <f>SUMIF(F$2:F34,F39,H$2:H34)</f>
        <v>324</v>
      </c>
      <c r="I39" s="11">
        <f>SUMIF(F$2:F34,F39,I$2:I34)</f>
        <v>5.508</v>
      </c>
      <c r="J39" s="216"/>
      <c r="K39" s="216"/>
      <c r="L39" s="11">
        <f>_xlfn.SUMIFS(H$2:H$34,K$2:K$34,L$38,F$2:F$34,F39)</f>
        <v>0</v>
      </c>
      <c r="M39" s="11">
        <f>_xlfn.SUMIFS(H$2:H$34,K$2:K$34,M$38,F$2:F$34,F39)</f>
        <v>0</v>
      </c>
      <c r="N39" s="11">
        <f>_xlfn.SUMIFS(H$2:H$34,K$2:K$34,N$38,F$2:F$34,F39)</f>
        <v>324</v>
      </c>
      <c r="O39" s="11">
        <f>_xlfn.SUMIFS(H$2:H$34,K$2:K$34,O$38,F$2:F$34,F39)</f>
        <v>0</v>
      </c>
    </row>
    <row r="40" spans="6:15" ht="11.25">
      <c r="F40" s="37" t="s">
        <v>192</v>
      </c>
      <c r="G40" s="9">
        <v>27</v>
      </c>
      <c r="H40" s="11">
        <f>SUMIF(F$2:F34,F40,H$2:H34)</f>
        <v>1752</v>
      </c>
      <c r="I40" s="11">
        <f>SUMIF(F$2:F34,F40,I$2:I34)</f>
        <v>29.78400000000001</v>
      </c>
      <c r="J40" s="242"/>
      <c r="K40" s="216">
        <v>552.94</v>
      </c>
      <c r="L40" s="11">
        <f>_xlfn.SUMIFS(H$2:H$34,K$2:K$34,L$38,F$2:F$34,F40)</f>
        <v>450</v>
      </c>
      <c r="M40" s="11">
        <f>_xlfn.SUMIFS(H$2:H$34,K$2:K$34,M$38,F$2:F$34,F40)</f>
        <v>328</v>
      </c>
      <c r="N40" s="11">
        <f>_xlfn.SUMIFS(H$2:H$34,K$2:K$34,N$38,F$2:F$34,F40)</f>
        <v>0</v>
      </c>
      <c r="O40" s="11">
        <f>_xlfn.SUMIFS(H$2:H$34,K$2:K$34,O$38,F$2:F$34,F40)</f>
        <v>974</v>
      </c>
    </row>
    <row r="41" spans="6:15" ht="11.25">
      <c r="F41" s="9" t="s">
        <v>18</v>
      </c>
      <c r="G41" s="9">
        <v>4</v>
      </c>
      <c r="H41" s="11">
        <f>SUMIF(F$2:F34,F41,H$2:H34)</f>
        <v>320</v>
      </c>
      <c r="I41" s="11">
        <f>SUMIF(F$2:F34,F41,I$2:I34)</f>
        <v>5.440000000000001</v>
      </c>
      <c r="J41" s="216">
        <v>1433.529</v>
      </c>
      <c r="K41" s="216">
        <v>429.39</v>
      </c>
      <c r="L41" s="11">
        <f>_xlfn.SUMIFS(H$2:H$34,K$2:K$34,L$38,F$2:F$34,F41)</f>
        <v>320</v>
      </c>
      <c r="M41" s="11">
        <f>_xlfn.SUMIFS(H$2:H$34,K$2:K$34,M$38,F$2:F$34,F41)</f>
        <v>0</v>
      </c>
      <c r="N41" s="11">
        <f>_xlfn.SUMIFS(H$2:H$34,K$2:K$34,N$38,F$2:F$34,F41)</f>
        <v>0</v>
      </c>
      <c r="O41" s="11">
        <f>_xlfn.SUMIFS(H$2:H$34,K$2:K$34,O$38,F$2:F$34,F41)</f>
        <v>0</v>
      </c>
    </row>
    <row r="42" spans="6:15" ht="11.25">
      <c r="F42" s="9" t="s">
        <v>10</v>
      </c>
      <c r="G42" s="9"/>
      <c r="H42" s="11">
        <f>SUMIF(G$2:G34,F42,H$2:H34)</f>
        <v>2396</v>
      </c>
      <c r="I42" s="11">
        <f>SUMIF(G$2:G34,F42,I$2:I34)</f>
        <v>40.732000000000006</v>
      </c>
      <c r="J42" s="216">
        <v>1433.529</v>
      </c>
      <c r="K42" s="216">
        <v>982.33</v>
      </c>
      <c r="L42" s="11">
        <f>_xlfn.SUMIFS(H2:H34,K2:K34,L38,G2:G34,F42)</f>
        <v>770</v>
      </c>
      <c r="M42" s="11">
        <f>_xlfn.SUMIFS(H2:H34,K2:K34,M38,G2:G34,F42)</f>
        <v>328</v>
      </c>
      <c r="N42" s="11">
        <f>_xlfn.SUMIFS(H2:H34,K2:K34,N38,G2:G34,F42)</f>
        <v>324</v>
      </c>
      <c r="O42" s="11">
        <f>_xlfn.SUMIFS(H2:H34,K2:K34,O38,G2:G34,F42)</f>
        <v>974</v>
      </c>
    </row>
    <row r="43" spans="6:15" ht="11.25">
      <c r="F43" s="9" t="s">
        <v>19</v>
      </c>
      <c r="G43" s="9"/>
      <c r="H43" s="11">
        <f>SUMIF(G$2:G34,F43,H$2:H34)</f>
        <v>0</v>
      </c>
      <c r="I43" s="11">
        <f>SUMIF(G$2:G34,F43,I$2:I34)</f>
        <v>0</v>
      </c>
      <c r="J43" s="216"/>
      <c r="K43" s="216"/>
      <c r="L43" s="11"/>
      <c r="M43" s="11"/>
      <c r="N43" s="68"/>
      <c r="O43" s="11"/>
    </row>
    <row r="44" spans="6:15" ht="11.25">
      <c r="F44" s="9" t="s">
        <v>20</v>
      </c>
      <c r="G44" s="9"/>
      <c r="H44" s="11"/>
      <c r="I44" s="11"/>
      <c r="J44" s="216"/>
      <c r="K44" s="216"/>
      <c r="L44" s="11"/>
      <c r="M44" s="11"/>
      <c r="N44" s="68"/>
      <c r="O44" s="11"/>
    </row>
    <row r="45" spans="6:15" ht="11.25">
      <c r="F45" s="9" t="s">
        <v>21</v>
      </c>
      <c r="G45" s="9"/>
      <c r="H45" s="11"/>
      <c r="I45" s="11"/>
      <c r="J45" s="216"/>
      <c r="K45" s="216"/>
      <c r="L45" s="11"/>
      <c r="M45" s="11"/>
      <c r="N45" s="68"/>
      <c r="O45" s="11"/>
    </row>
  </sheetData>
  <sheetProtection/>
  <autoFilter ref="A1:P34"/>
  <mergeCells count="1">
    <mergeCell ref="J37:O37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2">
      <selection activeCell="N17" sqref="N17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88" t="s">
        <v>0</v>
      </c>
      <c r="B1" s="88" t="s">
        <v>1</v>
      </c>
      <c r="C1" s="88" t="s">
        <v>2</v>
      </c>
      <c r="D1" s="89" t="s">
        <v>3</v>
      </c>
      <c r="E1" s="88"/>
      <c r="F1" s="88" t="s">
        <v>4</v>
      </c>
      <c r="G1" s="88" t="s">
        <v>5</v>
      </c>
      <c r="H1" s="88" t="s">
        <v>6</v>
      </c>
      <c r="I1" s="88" t="s">
        <v>7</v>
      </c>
      <c r="J1" s="88" t="s">
        <v>8</v>
      </c>
      <c r="K1" s="177" t="s">
        <v>9</v>
      </c>
      <c r="L1" s="234"/>
      <c r="M1" s="187"/>
      <c r="N1" s="180"/>
      <c r="O1" s="180"/>
      <c r="P1" s="180"/>
    </row>
    <row r="2" spans="1:16" s="57" customFormat="1" ht="11.25">
      <c r="A2" s="90">
        <v>1</v>
      </c>
      <c r="B2" s="90" t="s">
        <v>22</v>
      </c>
      <c r="C2" s="91" t="s">
        <v>22</v>
      </c>
      <c r="D2" s="92" t="s">
        <v>139</v>
      </c>
      <c r="E2" s="90">
        <v>2</v>
      </c>
      <c r="F2" s="90" t="str">
        <f aca="true" t="shared" si="0" ref="F2:F58">IF(E2=2,"budynek gospodarczy","budynek mieszkalny")</f>
        <v>budynek gospodarczy</v>
      </c>
      <c r="G2" s="90" t="s">
        <v>10</v>
      </c>
      <c r="H2" s="93">
        <f>5*9</f>
        <v>45</v>
      </c>
      <c r="I2" s="94">
        <f>0.017*H2</f>
        <v>0.765</v>
      </c>
      <c r="J2" s="95" t="s">
        <v>23</v>
      </c>
      <c r="K2" s="178" t="s">
        <v>70</v>
      </c>
      <c r="L2" s="185"/>
      <c r="M2" s="188"/>
      <c r="N2" s="182"/>
      <c r="O2" s="182"/>
      <c r="P2" s="182"/>
    </row>
    <row r="3" spans="1:16" s="57" customFormat="1" ht="11.25">
      <c r="A3" s="90">
        <f>A2+1</f>
        <v>2</v>
      </c>
      <c r="B3" s="90" t="s">
        <v>22</v>
      </c>
      <c r="C3" s="91" t="s">
        <v>22</v>
      </c>
      <c r="D3" s="92" t="s">
        <v>139</v>
      </c>
      <c r="E3" s="90">
        <v>2</v>
      </c>
      <c r="F3" s="90" t="str">
        <f t="shared" si="0"/>
        <v>budynek gospodarczy</v>
      </c>
      <c r="G3" s="90" t="s">
        <v>10</v>
      </c>
      <c r="H3" s="93">
        <f>4.5*7</f>
        <v>31.5</v>
      </c>
      <c r="I3" s="94">
        <f>0.017*H3</f>
        <v>0.5355000000000001</v>
      </c>
      <c r="J3" s="95" t="s">
        <v>23</v>
      </c>
      <c r="K3" s="178" t="s">
        <v>70</v>
      </c>
      <c r="L3" s="185"/>
      <c r="M3" s="188"/>
      <c r="N3" s="182"/>
      <c r="O3" s="182"/>
      <c r="P3" s="182"/>
    </row>
    <row r="4" spans="1:16" s="69" customFormat="1" ht="11.25">
      <c r="A4" s="90">
        <f aca="true" t="shared" si="1" ref="A4:A59">A3+1</f>
        <v>3</v>
      </c>
      <c r="B4" s="90" t="s">
        <v>22</v>
      </c>
      <c r="C4" s="91" t="s">
        <v>22</v>
      </c>
      <c r="D4" s="92" t="s">
        <v>140</v>
      </c>
      <c r="E4" s="90">
        <v>3</v>
      </c>
      <c r="F4" s="158" t="s">
        <v>18</v>
      </c>
      <c r="G4" s="90" t="s">
        <v>10</v>
      </c>
      <c r="H4" s="93">
        <v>400</v>
      </c>
      <c r="I4" s="94">
        <f aca="true" t="shared" si="2" ref="I4:I60">0.017*H4</f>
        <v>6.800000000000001</v>
      </c>
      <c r="J4" s="95" t="s">
        <v>26</v>
      </c>
      <c r="K4" s="179" t="s">
        <v>203</v>
      </c>
      <c r="L4" s="235"/>
      <c r="M4" s="188"/>
      <c r="N4" s="182"/>
      <c r="O4" s="182"/>
      <c r="P4" s="182"/>
    </row>
    <row r="5" spans="1:16" s="57" customFormat="1" ht="11.25">
      <c r="A5" s="90">
        <v>4</v>
      </c>
      <c r="B5" s="90" t="s">
        <v>22</v>
      </c>
      <c r="C5" s="91" t="s">
        <v>22</v>
      </c>
      <c r="D5" s="92" t="s">
        <v>141</v>
      </c>
      <c r="E5" s="90">
        <v>2</v>
      </c>
      <c r="F5" s="90" t="str">
        <f t="shared" si="0"/>
        <v>budynek gospodarczy</v>
      </c>
      <c r="G5" s="90" t="s">
        <v>10</v>
      </c>
      <c r="H5" s="93">
        <f>6*2*12</f>
        <v>144</v>
      </c>
      <c r="I5" s="94">
        <f t="shared" si="2"/>
        <v>2.4480000000000004</v>
      </c>
      <c r="J5" s="95" t="s">
        <v>26</v>
      </c>
      <c r="K5" s="178" t="s">
        <v>72</v>
      </c>
      <c r="L5" s="185"/>
      <c r="M5" s="188"/>
      <c r="N5" s="182"/>
      <c r="O5" s="182"/>
      <c r="P5" s="182"/>
    </row>
    <row r="6" spans="1:16" s="57" customFormat="1" ht="11.25">
      <c r="A6" s="90">
        <v>5</v>
      </c>
      <c r="B6" s="90" t="s">
        <v>22</v>
      </c>
      <c r="C6" s="91" t="s">
        <v>22</v>
      </c>
      <c r="D6" s="92" t="s">
        <v>141</v>
      </c>
      <c r="E6" s="90">
        <v>2</v>
      </c>
      <c r="F6" s="90" t="str">
        <f t="shared" si="0"/>
        <v>budynek gospodarczy</v>
      </c>
      <c r="G6" s="90" t="s">
        <v>10</v>
      </c>
      <c r="H6" s="93">
        <f>3*12</f>
        <v>36</v>
      </c>
      <c r="I6" s="94">
        <f t="shared" si="2"/>
        <v>0.6120000000000001</v>
      </c>
      <c r="J6" s="95" t="s">
        <v>23</v>
      </c>
      <c r="K6" s="178" t="s">
        <v>70</v>
      </c>
      <c r="L6" s="185"/>
      <c r="M6" s="188"/>
      <c r="N6" s="182"/>
      <c r="O6" s="182"/>
      <c r="P6" s="182"/>
    </row>
    <row r="7" spans="1:16" s="57" customFormat="1" ht="11.25">
      <c r="A7" s="90">
        <v>6</v>
      </c>
      <c r="B7" s="90" t="s">
        <v>22</v>
      </c>
      <c r="C7" s="91" t="s">
        <v>22</v>
      </c>
      <c r="D7" s="92" t="s">
        <v>141</v>
      </c>
      <c r="E7" s="90">
        <v>2</v>
      </c>
      <c r="F7" s="90" t="str">
        <f t="shared" si="0"/>
        <v>budynek gospodarczy</v>
      </c>
      <c r="G7" s="90" t="s">
        <v>10</v>
      </c>
      <c r="H7" s="93">
        <f>3*2*5.5</f>
        <v>33</v>
      </c>
      <c r="I7" s="94">
        <f t="shared" si="2"/>
        <v>0.561</v>
      </c>
      <c r="J7" s="95" t="s">
        <v>23</v>
      </c>
      <c r="K7" s="178" t="s">
        <v>70</v>
      </c>
      <c r="L7" s="185"/>
      <c r="M7" s="188"/>
      <c r="N7" s="182"/>
      <c r="O7" s="182"/>
      <c r="P7" s="182"/>
    </row>
    <row r="8" spans="1:16" s="57" customFormat="1" ht="11.25">
      <c r="A8" s="90">
        <f t="shared" si="1"/>
        <v>7</v>
      </c>
      <c r="B8" s="90" t="s">
        <v>22</v>
      </c>
      <c r="C8" s="91" t="s">
        <v>22</v>
      </c>
      <c r="D8" s="92" t="s">
        <v>141</v>
      </c>
      <c r="E8" s="90">
        <v>2</v>
      </c>
      <c r="F8" s="90" t="str">
        <f t="shared" si="0"/>
        <v>budynek gospodarczy</v>
      </c>
      <c r="G8" s="90" t="s">
        <v>10</v>
      </c>
      <c r="H8" s="93">
        <f>(2.5+3)*2*15</f>
        <v>165</v>
      </c>
      <c r="I8" s="94">
        <f t="shared" si="2"/>
        <v>2.805</v>
      </c>
      <c r="J8" s="95" t="s">
        <v>26</v>
      </c>
      <c r="K8" s="178" t="s">
        <v>72</v>
      </c>
      <c r="L8" s="185"/>
      <c r="M8" s="188"/>
      <c r="N8" s="182"/>
      <c r="O8" s="182"/>
      <c r="P8" s="182"/>
    </row>
    <row r="9" spans="1:16" s="57" customFormat="1" ht="11.25">
      <c r="A9" s="90">
        <f t="shared" si="1"/>
        <v>8</v>
      </c>
      <c r="B9" s="90" t="s">
        <v>22</v>
      </c>
      <c r="C9" s="91" t="s">
        <v>22</v>
      </c>
      <c r="D9" s="92" t="s">
        <v>142</v>
      </c>
      <c r="E9" s="90">
        <v>2</v>
      </c>
      <c r="F9" s="90" t="str">
        <f t="shared" si="0"/>
        <v>budynek gospodarczy</v>
      </c>
      <c r="G9" s="90" t="s">
        <v>10</v>
      </c>
      <c r="H9" s="93">
        <f>4*6</f>
        <v>24</v>
      </c>
      <c r="I9" s="94">
        <f t="shared" si="2"/>
        <v>0.40800000000000003</v>
      </c>
      <c r="J9" s="95" t="s">
        <v>23</v>
      </c>
      <c r="K9" s="178" t="s">
        <v>70</v>
      </c>
      <c r="L9" s="185"/>
      <c r="M9" s="188"/>
      <c r="N9" s="182"/>
      <c r="O9" s="182"/>
      <c r="P9" s="182"/>
    </row>
    <row r="10" spans="1:16" s="57" customFormat="1" ht="11.25">
      <c r="A10" s="90">
        <f t="shared" si="1"/>
        <v>9</v>
      </c>
      <c r="B10" s="90" t="s">
        <v>22</v>
      </c>
      <c r="C10" s="91" t="s">
        <v>22</v>
      </c>
      <c r="D10" s="92" t="s">
        <v>142</v>
      </c>
      <c r="E10" s="90">
        <v>2</v>
      </c>
      <c r="F10" s="90" t="str">
        <f t="shared" si="0"/>
        <v>budynek gospodarczy</v>
      </c>
      <c r="G10" s="90" t="s">
        <v>10</v>
      </c>
      <c r="H10" s="93">
        <f>6*6</f>
        <v>36</v>
      </c>
      <c r="I10" s="94">
        <f t="shared" si="2"/>
        <v>0.6120000000000001</v>
      </c>
      <c r="J10" s="95" t="s">
        <v>23</v>
      </c>
      <c r="K10" s="178" t="s">
        <v>70</v>
      </c>
      <c r="L10" s="185"/>
      <c r="M10" s="188"/>
      <c r="N10" s="182"/>
      <c r="O10" s="182"/>
      <c r="P10" s="182"/>
    </row>
    <row r="11" spans="1:16" s="57" customFormat="1" ht="11.25">
      <c r="A11" s="90">
        <f t="shared" si="1"/>
        <v>10</v>
      </c>
      <c r="B11" s="90" t="s">
        <v>22</v>
      </c>
      <c r="C11" s="91" t="s">
        <v>22</v>
      </c>
      <c r="D11" s="92" t="s">
        <v>142</v>
      </c>
      <c r="E11" s="90">
        <v>2</v>
      </c>
      <c r="F11" s="90" t="str">
        <f t="shared" si="0"/>
        <v>budynek gospodarczy</v>
      </c>
      <c r="G11" s="90" t="s">
        <v>10</v>
      </c>
      <c r="H11" s="93">
        <f>4*12</f>
        <v>48</v>
      </c>
      <c r="I11" s="94">
        <f t="shared" si="2"/>
        <v>0.8160000000000001</v>
      </c>
      <c r="J11" s="95" t="s">
        <v>23</v>
      </c>
      <c r="K11" s="178" t="s">
        <v>70</v>
      </c>
      <c r="L11" s="185"/>
      <c r="M11" s="188"/>
      <c r="N11" s="182"/>
      <c r="O11" s="182"/>
      <c r="P11" s="182"/>
    </row>
    <row r="12" spans="1:16" s="57" customFormat="1" ht="11.25">
      <c r="A12" s="90">
        <f t="shared" si="1"/>
        <v>11</v>
      </c>
      <c r="B12" s="90" t="s">
        <v>22</v>
      </c>
      <c r="C12" s="91" t="s">
        <v>22</v>
      </c>
      <c r="D12" s="92" t="s">
        <v>142</v>
      </c>
      <c r="E12" s="90">
        <v>2</v>
      </c>
      <c r="F12" s="90" t="str">
        <f t="shared" si="0"/>
        <v>budynek gospodarczy</v>
      </c>
      <c r="G12" s="90" t="s">
        <v>10</v>
      </c>
      <c r="H12" s="93">
        <f>6*12</f>
        <v>72</v>
      </c>
      <c r="I12" s="94">
        <f>0.017*H12</f>
        <v>1.2240000000000002</v>
      </c>
      <c r="J12" s="95" t="s">
        <v>26</v>
      </c>
      <c r="K12" s="178" t="s">
        <v>72</v>
      </c>
      <c r="L12" s="185"/>
      <c r="M12" s="188"/>
      <c r="N12" s="182"/>
      <c r="O12" s="182"/>
      <c r="P12" s="182"/>
    </row>
    <row r="13" spans="1:16" s="57" customFormat="1" ht="11.25">
      <c r="A13" s="90">
        <f t="shared" si="1"/>
        <v>12</v>
      </c>
      <c r="B13" s="90" t="s">
        <v>22</v>
      </c>
      <c r="C13" s="91" t="s">
        <v>22</v>
      </c>
      <c r="D13" s="92" t="s">
        <v>142</v>
      </c>
      <c r="E13" s="90">
        <v>2</v>
      </c>
      <c r="F13" s="90" t="str">
        <f t="shared" si="0"/>
        <v>budynek gospodarczy</v>
      </c>
      <c r="G13" s="90" t="s">
        <v>10</v>
      </c>
      <c r="H13" s="93">
        <f>7*8</f>
        <v>56</v>
      </c>
      <c r="I13" s="94">
        <f t="shared" si="2"/>
        <v>0.9520000000000001</v>
      </c>
      <c r="J13" s="95" t="s">
        <v>26</v>
      </c>
      <c r="K13" s="178" t="s">
        <v>72</v>
      </c>
      <c r="L13" s="185"/>
      <c r="M13" s="188"/>
      <c r="N13" s="182"/>
      <c r="O13" s="182"/>
      <c r="P13" s="182"/>
    </row>
    <row r="14" spans="1:16" s="57" customFormat="1" ht="11.25">
      <c r="A14" s="90">
        <f t="shared" si="1"/>
        <v>13</v>
      </c>
      <c r="B14" s="90" t="s">
        <v>22</v>
      </c>
      <c r="C14" s="91" t="s">
        <v>22</v>
      </c>
      <c r="D14" s="92" t="s">
        <v>142</v>
      </c>
      <c r="E14" s="90">
        <v>2</v>
      </c>
      <c r="F14" s="90" t="str">
        <f t="shared" si="0"/>
        <v>budynek gospodarczy</v>
      </c>
      <c r="G14" s="90" t="s">
        <v>10</v>
      </c>
      <c r="H14" s="93">
        <f>3*6</f>
        <v>18</v>
      </c>
      <c r="I14" s="94">
        <f>0.017*H14</f>
        <v>0.30600000000000005</v>
      </c>
      <c r="J14" s="95" t="s">
        <v>23</v>
      </c>
      <c r="K14" s="178" t="s">
        <v>70</v>
      </c>
      <c r="L14" s="185"/>
      <c r="M14" s="188"/>
      <c r="N14" s="182"/>
      <c r="O14" s="182"/>
      <c r="P14" s="182"/>
    </row>
    <row r="15" spans="1:16" s="57" customFormat="1" ht="11.25">
      <c r="A15" s="90">
        <f t="shared" si="1"/>
        <v>14</v>
      </c>
      <c r="B15" s="90" t="s">
        <v>22</v>
      </c>
      <c r="C15" s="91" t="s">
        <v>22</v>
      </c>
      <c r="D15" s="92" t="s">
        <v>143</v>
      </c>
      <c r="E15" s="90">
        <v>2</v>
      </c>
      <c r="F15" s="90" t="str">
        <f t="shared" si="0"/>
        <v>budynek gospodarczy</v>
      </c>
      <c r="G15" s="90" t="s">
        <v>10</v>
      </c>
      <c r="H15" s="93">
        <f>5*15</f>
        <v>75</v>
      </c>
      <c r="I15" s="94">
        <f t="shared" si="2"/>
        <v>1.2750000000000001</v>
      </c>
      <c r="J15" s="95" t="s">
        <v>26</v>
      </c>
      <c r="K15" s="178" t="s">
        <v>72</v>
      </c>
      <c r="L15" s="185"/>
      <c r="M15" s="188"/>
      <c r="N15" s="182"/>
      <c r="O15" s="182"/>
      <c r="P15" s="182"/>
    </row>
    <row r="16" spans="1:16" s="57" customFormat="1" ht="11.25">
      <c r="A16" s="90">
        <f t="shared" si="1"/>
        <v>15</v>
      </c>
      <c r="B16" s="90" t="s">
        <v>22</v>
      </c>
      <c r="C16" s="91" t="s">
        <v>22</v>
      </c>
      <c r="D16" s="92" t="s">
        <v>143</v>
      </c>
      <c r="E16" s="90">
        <v>2</v>
      </c>
      <c r="F16" s="90" t="str">
        <f t="shared" si="0"/>
        <v>budynek gospodarczy</v>
      </c>
      <c r="G16" s="90" t="s">
        <v>10</v>
      </c>
      <c r="H16" s="93">
        <f>2*8</f>
        <v>16</v>
      </c>
      <c r="I16" s="94">
        <f t="shared" si="2"/>
        <v>0.272</v>
      </c>
      <c r="J16" s="95" t="s">
        <v>23</v>
      </c>
      <c r="K16" s="178" t="s">
        <v>70</v>
      </c>
      <c r="L16" s="185"/>
      <c r="M16" s="188"/>
      <c r="N16" s="182"/>
      <c r="O16" s="182"/>
      <c r="P16" s="182"/>
    </row>
    <row r="17" spans="1:16" s="57" customFormat="1" ht="11.25">
      <c r="A17" s="90">
        <f t="shared" si="1"/>
        <v>16</v>
      </c>
      <c r="B17" s="90" t="s">
        <v>22</v>
      </c>
      <c r="C17" s="91" t="s">
        <v>22</v>
      </c>
      <c r="D17" s="92" t="s">
        <v>143</v>
      </c>
      <c r="E17" s="90">
        <v>2</v>
      </c>
      <c r="F17" s="90" t="str">
        <f t="shared" si="0"/>
        <v>budynek gospodarczy</v>
      </c>
      <c r="G17" s="90" t="s">
        <v>10</v>
      </c>
      <c r="H17" s="93">
        <f>3.5*8</f>
        <v>28</v>
      </c>
      <c r="I17" s="94">
        <f t="shared" si="2"/>
        <v>0.47600000000000003</v>
      </c>
      <c r="J17" s="95" t="s">
        <v>23</v>
      </c>
      <c r="K17" s="178" t="s">
        <v>70</v>
      </c>
      <c r="L17" s="185"/>
      <c r="M17" s="188"/>
      <c r="N17" s="182"/>
      <c r="O17" s="182"/>
      <c r="P17" s="182"/>
    </row>
    <row r="18" spans="1:16" s="57" customFormat="1" ht="11.25">
      <c r="A18" s="90">
        <f t="shared" si="1"/>
        <v>17</v>
      </c>
      <c r="B18" s="90" t="s">
        <v>22</v>
      </c>
      <c r="C18" s="91" t="s">
        <v>22</v>
      </c>
      <c r="D18" s="92" t="s">
        <v>144</v>
      </c>
      <c r="E18" s="90">
        <v>2</v>
      </c>
      <c r="F18" s="90" t="str">
        <f t="shared" si="0"/>
        <v>budynek gospodarczy</v>
      </c>
      <c r="G18" s="90" t="s">
        <v>10</v>
      </c>
      <c r="H18" s="93">
        <f>3.5*10*2</f>
        <v>70</v>
      </c>
      <c r="I18" s="94">
        <f t="shared" si="2"/>
        <v>1.1900000000000002</v>
      </c>
      <c r="J18" s="95" t="s">
        <v>26</v>
      </c>
      <c r="K18" s="178" t="s">
        <v>72</v>
      </c>
      <c r="L18" s="185"/>
      <c r="M18" s="188"/>
      <c r="N18" s="182"/>
      <c r="O18" s="182"/>
      <c r="P18" s="182"/>
    </row>
    <row r="19" spans="1:16" s="57" customFormat="1" ht="11.25">
      <c r="A19" s="90">
        <f t="shared" si="1"/>
        <v>18</v>
      </c>
      <c r="B19" s="90" t="s">
        <v>22</v>
      </c>
      <c r="C19" s="91" t="s">
        <v>22</v>
      </c>
      <c r="D19" s="92" t="s">
        <v>130</v>
      </c>
      <c r="E19" s="90">
        <v>2</v>
      </c>
      <c r="F19" s="90" t="str">
        <f t="shared" si="0"/>
        <v>budynek gospodarczy</v>
      </c>
      <c r="G19" s="90" t="s">
        <v>10</v>
      </c>
      <c r="H19" s="93">
        <f>4*8</f>
        <v>32</v>
      </c>
      <c r="I19" s="94">
        <f t="shared" si="2"/>
        <v>0.544</v>
      </c>
      <c r="J19" s="95" t="s">
        <v>23</v>
      </c>
      <c r="K19" s="178" t="s">
        <v>70</v>
      </c>
      <c r="L19" s="185"/>
      <c r="M19" s="188"/>
      <c r="N19" s="182"/>
      <c r="O19" s="182"/>
      <c r="P19" s="182"/>
    </row>
    <row r="20" spans="1:16" s="69" customFormat="1" ht="11.25">
      <c r="A20" s="90">
        <f t="shared" si="1"/>
        <v>19</v>
      </c>
      <c r="B20" s="90" t="s">
        <v>22</v>
      </c>
      <c r="C20" s="91" t="s">
        <v>22</v>
      </c>
      <c r="D20" s="92" t="s">
        <v>145</v>
      </c>
      <c r="E20" s="90">
        <v>2</v>
      </c>
      <c r="F20" s="90" t="str">
        <f t="shared" si="0"/>
        <v>budynek gospodarczy</v>
      </c>
      <c r="G20" s="90" t="s">
        <v>10</v>
      </c>
      <c r="H20" s="93">
        <f>3*2*12</f>
        <v>72</v>
      </c>
      <c r="I20" s="94">
        <f t="shared" si="2"/>
        <v>1.2240000000000002</v>
      </c>
      <c r="J20" s="95" t="s">
        <v>26</v>
      </c>
      <c r="K20" s="178" t="s">
        <v>72</v>
      </c>
      <c r="L20" s="185"/>
      <c r="M20" s="188"/>
      <c r="N20" s="182"/>
      <c r="O20" s="182"/>
      <c r="P20" s="182"/>
    </row>
    <row r="21" spans="1:16" s="57" customFormat="1" ht="11.25">
      <c r="A21" s="90">
        <f t="shared" si="1"/>
        <v>20</v>
      </c>
      <c r="B21" s="90" t="s">
        <v>22</v>
      </c>
      <c r="C21" s="91" t="s">
        <v>22</v>
      </c>
      <c r="D21" s="92" t="s">
        <v>146</v>
      </c>
      <c r="E21" s="90">
        <v>2</v>
      </c>
      <c r="F21" s="90" t="str">
        <f t="shared" si="0"/>
        <v>budynek gospodarczy</v>
      </c>
      <c r="G21" s="90" t="s">
        <v>10</v>
      </c>
      <c r="H21" s="93">
        <f>4*6</f>
        <v>24</v>
      </c>
      <c r="I21" s="94">
        <f t="shared" si="2"/>
        <v>0.40800000000000003</v>
      </c>
      <c r="J21" s="95" t="s">
        <v>23</v>
      </c>
      <c r="K21" s="178" t="s">
        <v>70</v>
      </c>
      <c r="L21" s="185"/>
      <c r="M21" s="188"/>
      <c r="N21" s="182"/>
      <c r="O21" s="182"/>
      <c r="P21" s="182"/>
    </row>
    <row r="22" spans="1:16" s="57" customFormat="1" ht="11.25">
      <c r="A22" s="90">
        <f t="shared" si="1"/>
        <v>21</v>
      </c>
      <c r="B22" s="90" t="s">
        <v>22</v>
      </c>
      <c r="C22" s="91" t="s">
        <v>22</v>
      </c>
      <c r="D22" s="92" t="s">
        <v>146</v>
      </c>
      <c r="E22" s="90">
        <v>2</v>
      </c>
      <c r="F22" s="90" t="str">
        <f t="shared" si="0"/>
        <v>budynek gospodarczy</v>
      </c>
      <c r="G22" s="90" t="s">
        <v>10</v>
      </c>
      <c r="H22" s="93">
        <f>3.5*6</f>
        <v>21</v>
      </c>
      <c r="I22" s="94">
        <f t="shared" si="2"/>
        <v>0.35700000000000004</v>
      </c>
      <c r="J22" s="95" t="s">
        <v>23</v>
      </c>
      <c r="K22" s="178" t="s">
        <v>70</v>
      </c>
      <c r="L22" s="185"/>
      <c r="M22" s="188"/>
      <c r="N22" s="182"/>
      <c r="O22" s="182"/>
      <c r="P22" s="182"/>
    </row>
    <row r="23" spans="1:16" s="57" customFormat="1" ht="11.25">
      <c r="A23" s="90">
        <f t="shared" si="1"/>
        <v>22</v>
      </c>
      <c r="B23" s="90" t="s">
        <v>22</v>
      </c>
      <c r="C23" s="91" t="s">
        <v>22</v>
      </c>
      <c r="D23" s="92" t="s">
        <v>146</v>
      </c>
      <c r="E23" s="90">
        <v>2</v>
      </c>
      <c r="F23" s="90" t="str">
        <f t="shared" si="0"/>
        <v>budynek gospodarczy</v>
      </c>
      <c r="G23" s="90" t="s">
        <v>10</v>
      </c>
      <c r="H23" s="93">
        <f>3.5*7</f>
        <v>24.5</v>
      </c>
      <c r="I23" s="94">
        <f t="shared" si="2"/>
        <v>0.41650000000000004</v>
      </c>
      <c r="J23" s="95" t="s">
        <v>23</v>
      </c>
      <c r="K23" s="178" t="s">
        <v>70</v>
      </c>
      <c r="L23" s="185"/>
      <c r="M23" s="188"/>
      <c r="N23" s="182"/>
      <c r="O23" s="182"/>
      <c r="P23" s="182"/>
    </row>
    <row r="24" spans="1:16" s="57" customFormat="1" ht="11.25">
      <c r="A24" s="90">
        <f t="shared" si="1"/>
        <v>23</v>
      </c>
      <c r="B24" s="90" t="s">
        <v>22</v>
      </c>
      <c r="C24" s="91" t="s">
        <v>22</v>
      </c>
      <c r="D24" s="92" t="s">
        <v>147</v>
      </c>
      <c r="E24" s="90">
        <v>2</v>
      </c>
      <c r="F24" s="90" t="str">
        <f t="shared" si="0"/>
        <v>budynek gospodarczy</v>
      </c>
      <c r="G24" s="90" t="s">
        <v>10</v>
      </c>
      <c r="H24" s="93">
        <f>5*10</f>
        <v>50</v>
      </c>
      <c r="I24" s="94">
        <f t="shared" si="2"/>
        <v>0.8500000000000001</v>
      </c>
      <c r="J24" s="95" t="s">
        <v>26</v>
      </c>
      <c r="K24" s="178" t="s">
        <v>72</v>
      </c>
      <c r="L24" s="185"/>
      <c r="M24" s="188"/>
      <c r="N24" s="182"/>
      <c r="O24" s="182"/>
      <c r="P24" s="182"/>
    </row>
    <row r="25" spans="1:16" s="57" customFormat="1" ht="11.25">
      <c r="A25" s="90">
        <f t="shared" si="1"/>
        <v>24</v>
      </c>
      <c r="B25" s="90" t="s">
        <v>22</v>
      </c>
      <c r="C25" s="91" t="s">
        <v>22</v>
      </c>
      <c r="D25" s="92" t="s">
        <v>128</v>
      </c>
      <c r="E25" s="90">
        <v>2</v>
      </c>
      <c r="F25" s="90" t="str">
        <f t="shared" si="0"/>
        <v>budynek gospodarczy</v>
      </c>
      <c r="G25" s="90" t="s">
        <v>10</v>
      </c>
      <c r="H25" s="93">
        <f>7*10</f>
        <v>70</v>
      </c>
      <c r="I25" s="94">
        <f t="shared" si="2"/>
        <v>1.1900000000000002</v>
      </c>
      <c r="J25" s="95" t="s">
        <v>26</v>
      </c>
      <c r="K25" s="178" t="s">
        <v>72</v>
      </c>
      <c r="L25" s="185"/>
      <c r="M25" s="188"/>
      <c r="N25" s="182"/>
      <c r="O25" s="182"/>
      <c r="P25" s="182"/>
    </row>
    <row r="26" spans="1:16" s="69" customFormat="1" ht="11.25">
      <c r="A26" s="90">
        <f t="shared" si="1"/>
        <v>25</v>
      </c>
      <c r="B26" s="90" t="s">
        <v>22</v>
      </c>
      <c r="C26" s="91" t="s">
        <v>22</v>
      </c>
      <c r="D26" s="92" t="s">
        <v>148</v>
      </c>
      <c r="E26" s="90">
        <v>2</v>
      </c>
      <c r="F26" s="90" t="str">
        <f t="shared" si="0"/>
        <v>budynek gospodarczy</v>
      </c>
      <c r="G26" s="90" t="s">
        <v>10</v>
      </c>
      <c r="H26" s="93">
        <f>5*2*14</f>
        <v>140</v>
      </c>
      <c r="I26" s="94">
        <f t="shared" si="2"/>
        <v>2.3800000000000003</v>
      </c>
      <c r="J26" s="95" t="s">
        <v>26</v>
      </c>
      <c r="K26" s="178" t="s">
        <v>72</v>
      </c>
      <c r="L26" s="185"/>
      <c r="M26" s="188"/>
      <c r="N26" s="182"/>
      <c r="O26" s="182"/>
      <c r="P26" s="182"/>
    </row>
    <row r="27" spans="1:16" s="57" customFormat="1" ht="11.25">
      <c r="A27" s="90">
        <f t="shared" si="1"/>
        <v>26</v>
      </c>
      <c r="B27" s="90" t="s">
        <v>22</v>
      </c>
      <c r="C27" s="91" t="s">
        <v>22</v>
      </c>
      <c r="D27" s="92" t="s">
        <v>197</v>
      </c>
      <c r="E27" s="90">
        <v>2</v>
      </c>
      <c r="F27" s="90" t="str">
        <f t="shared" si="0"/>
        <v>budynek gospodarczy</v>
      </c>
      <c r="G27" s="90" t="s">
        <v>10</v>
      </c>
      <c r="H27" s="93">
        <f>5*18</f>
        <v>90</v>
      </c>
      <c r="I27" s="94">
        <f t="shared" si="2"/>
        <v>1.53</v>
      </c>
      <c r="J27" s="95" t="s">
        <v>26</v>
      </c>
      <c r="K27" s="178" t="s">
        <v>72</v>
      </c>
      <c r="L27" s="185"/>
      <c r="M27" s="188"/>
      <c r="N27" s="182"/>
      <c r="O27" s="182"/>
      <c r="P27" s="182"/>
    </row>
    <row r="28" spans="1:16" s="57" customFormat="1" ht="11.25">
      <c r="A28" s="90">
        <f t="shared" si="1"/>
        <v>27</v>
      </c>
      <c r="B28" s="90" t="s">
        <v>22</v>
      </c>
      <c r="C28" s="91" t="s">
        <v>22</v>
      </c>
      <c r="D28" s="92" t="s">
        <v>149</v>
      </c>
      <c r="E28" s="90">
        <v>2</v>
      </c>
      <c r="F28" s="90" t="str">
        <f t="shared" si="0"/>
        <v>budynek gospodarczy</v>
      </c>
      <c r="G28" s="90" t="s">
        <v>10</v>
      </c>
      <c r="H28" s="93">
        <f>4.5*2*10</f>
        <v>90</v>
      </c>
      <c r="I28" s="94">
        <f t="shared" si="2"/>
        <v>1.53</v>
      </c>
      <c r="J28" s="95" t="s">
        <v>26</v>
      </c>
      <c r="K28" s="178" t="s">
        <v>72</v>
      </c>
      <c r="L28" s="185"/>
      <c r="M28" s="188"/>
      <c r="N28" s="182"/>
      <c r="O28" s="182"/>
      <c r="P28" s="182"/>
    </row>
    <row r="29" spans="1:16" s="57" customFormat="1" ht="11.25">
      <c r="A29" s="90">
        <v>28</v>
      </c>
      <c r="B29" s="90" t="s">
        <v>22</v>
      </c>
      <c r="C29" s="91" t="s">
        <v>22</v>
      </c>
      <c r="D29" s="92" t="s">
        <v>150</v>
      </c>
      <c r="E29" s="90">
        <v>2</v>
      </c>
      <c r="F29" s="90" t="str">
        <f t="shared" si="0"/>
        <v>budynek gospodarczy</v>
      </c>
      <c r="G29" s="90" t="s">
        <v>10</v>
      </c>
      <c r="H29" s="93">
        <f>4*7</f>
        <v>28</v>
      </c>
      <c r="I29" s="94">
        <f t="shared" si="2"/>
        <v>0.47600000000000003</v>
      </c>
      <c r="J29" s="95" t="s">
        <v>23</v>
      </c>
      <c r="K29" s="178" t="s">
        <v>70</v>
      </c>
      <c r="L29" s="185"/>
      <c r="M29" s="188"/>
      <c r="N29" s="182"/>
      <c r="O29" s="182"/>
      <c r="P29" s="182"/>
    </row>
    <row r="30" spans="1:16" s="57" customFormat="1" ht="11.25">
      <c r="A30" s="90">
        <f t="shared" si="1"/>
        <v>29</v>
      </c>
      <c r="B30" s="90" t="s">
        <v>22</v>
      </c>
      <c r="C30" s="91" t="s">
        <v>22</v>
      </c>
      <c r="D30" s="92" t="s">
        <v>151</v>
      </c>
      <c r="E30" s="90">
        <v>2</v>
      </c>
      <c r="F30" s="90" t="str">
        <f t="shared" si="0"/>
        <v>budynek gospodarczy</v>
      </c>
      <c r="G30" s="90" t="s">
        <v>10</v>
      </c>
      <c r="H30" s="93">
        <f>5*10</f>
        <v>50</v>
      </c>
      <c r="I30" s="94">
        <f t="shared" si="2"/>
        <v>0.8500000000000001</v>
      </c>
      <c r="J30" s="95" t="s">
        <v>26</v>
      </c>
      <c r="K30" s="178" t="s">
        <v>72</v>
      </c>
      <c r="L30" s="185"/>
      <c r="M30" s="188"/>
      <c r="N30" s="182"/>
      <c r="O30" s="182"/>
      <c r="P30" s="182"/>
    </row>
    <row r="31" spans="1:16" s="57" customFormat="1" ht="11.25">
      <c r="A31" s="90">
        <f t="shared" si="1"/>
        <v>30</v>
      </c>
      <c r="B31" s="90" t="s">
        <v>22</v>
      </c>
      <c r="C31" s="91" t="s">
        <v>22</v>
      </c>
      <c r="D31" s="92" t="s">
        <v>151</v>
      </c>
      <c r="E31" s="90">
        <v>2</v>
      </c>
      <c r="F31" s="90" t="str">
        <f t="shared" si="0"/>
        <v>budynek gospodarczy</v>
      </c>
      <c r="G31" s="90" t="s">
        <v>10</v>
      </c>
      <c r="H31" s="93">
        <f>7*12</f>
        <v>84</v>
      </c>
      <c r="I31" s="94">
        <f t="shared" si="2"/>
        <v>1.4280000000000002</v>
      </c>
      <c r="J31" s="95" t="s">
        <v>26</v>
      </c>
      <c r="K31" s="178" t="s">
        <v>72</v>
      </c>
      <c r="L31" s="185"/>
      <c r="M31" s="188"/>
      <c r="N31" s="182"/>
      <c r="O31" s="182"/>
      <c r="P31" s="182"/>
    </row>
    <row r="32" spans="1:16" s="57" customFormat="1" ht="11.25">
      <c r="A32" s="90">
        <f t="shared" si="1"/>
        <v>31</v>
      </c>
      <c r="B32" s="90" t="s">
        <v>22</v>
      </c>
      <c r="C32" s="91" t="s">
        <v>22</v>
      </c>
      <c r="D32" s="92" t="s">
        <v>152</v>
      </c>
      <c r="E32" s="90">
        <v>2</v>
      </c>
      <c r="F32" s="90" t="str">
        <f t="shared" si="0"/>
        <v>budynek gospodarczy</v>
      </c>
      <c r="G32" s="90" t="s">
        <v>10</v>
      </c>
      <c r="H32" s="93">
        <f>5*2*24</f>
        <v>240</v>
      </c>
      <c r="I32" s="94">
        <f t="shared" si="2"/>
        <v>4.08</v>
      </c>
      <c r="J32" s="95" t="s">
        <v>26</v>
      </c>
      <c r="K32" s="178" t="s">
        <v>72</v>
      </c>
      <c r="L32" s="185"/>
      <c r="M32" s="188"/>
      <c r="N32" s="182"/>
      <c r="O32" s="182"/>
      <c r="P32" s="182"/>
    </row>
    <row r="33" spans="1:16" s="57" customFormat="1" ht="11.25">
      <c r="A33" s="90">
        <f t="shared" si="1"/>
        <v>32</v>
      </c>
      <c r="B33" s="90" t="s">
        <v>22</v>
      </c>
      <c r="C33" s="91" t="s">
        <v>22</v>
      </c>
      <c r="D33" s="92" t="s">
        <v>63</v>
      </c>
      <c r="E33" s="90">
        <v>2</v>
      </c>
      <c r="F33" s="90" t="str">
        <f t="shared" si="0"/>
        <v>budynek gospodarczy</v>
      </c>
      <c r="G33" s="90" t="s">
        <v>10</v>
      </c>
      <c r="H33" s="93">
        <f>7*2*16</f>
        <v>224</v>
      </c>
      <c r="I33" s="94">
        <f t="shared" si="2"/>
        <v>3.8080000000000003</v>
      </c>
      <c r="J33" s="95" t="s">
        <v>26</v>
      </c>
      <c r="K33" s="178" t="s">
        <v>72</v>
      </c>
      <c r="L33" s="185"/>
      <c r="M33" s="188"/>
      <c r="N33" s="182"/>
      <c r="O33" s="182"/>
      <c r="P33" s="182"/>
    </row>
    <row r="34" spans="1:16" s="57" customFormat="1" ht="11.25">
      <c r="A34" s="90">
        <f t="shared" si="1"/>
        <v>33</v>
      </c>
      <c r="B34" s="90" t="s">
        <v>22</v>
      </c>
      <c r="C34" s="91" t="s">
        <v>22</v>
      </c>
      <c r="D34" s="92" t="s">
        <v>63</v>
      </c>
      <c r="E34" s="90">
        <v>2</v>
      </c>
      <c r="F34" s="90" t="str">
        <f t="shared" si="0"/>
        <v>budynek gospodarczy</v>
      </c>
      <c r="G34" s="90" t="s">
        <v>10</v>
      </c>
      <c r="H34" s="93">
        <f>2.5*2*12*5</f>
        <v>300</v>
      </c>
      <c r="I34" s="94">
        <f t="shared" si="2"/>
        <v>5.1000000000000005</v>
      </c>
      <c r="J34" s="95" t="s">
        <v>26</v>
      </c>
      <c r="K34" s="178" t="s">
        <v>72</v>
      </c>
      <c r="L34" s="185"/>
      <c r="M34" s="188"/>
      <c r="N34" s="182"/>
      <c r="O34" s="182"/>
      <c r="P34" s="182"/>
    </row>
    <row r="35" spans="1:16" s="57" customFormat="1" ht="11.25">
      <c r="A35" s="90">
        <f t="shared" si="1"/>
        <v>34</v>
      </c>
      <c r="B35" s="90" t="s">
        <v>22</v>
      </c>
      <c r="C35" s="91" t="s">
        <v>22</v>
      </c>
      <c r="D35" s="92" t="s">
        <v>153</v>
      </c>
      <c r="E35" s="90">
        <v>2</v>
      </c>
      <c r="F35" s="90" t="str">
        <f t="shared" si="0"/>
        <v>budynek gospodarczy</v>
      </c>
      <c r="G35" s="90" t="s">
        <v>10</v>
      </c>
      <c r="H35" s="93">
        <f>6*2*22</f>
        <v>264</v>
      </c>
      <c r="I35" s="94">
        <f t="shared" si="2"/>
        <v>4.488</v>
      </c>
      <c r="J35" s="95" t="s">
        <v>26</v>
      </c>
      <c r="K35" s="178" t="s">
        <v>72</v>
      </c>
      <c r="L35" s="185"/>
      <c r="M35" s="188"/>
      <c r="N35" s="182"/>
      <c r="O35" s="182"/>
      <c r="P35" s="182"/>
    </row>
    <row r="36" spans="1:16" s="57" customFormat="1" ht="11.25">
      <c r="A36" s="90">
        <v>35</v>
      </c>
      <c r="B36" s="90" t="s">
        <v>22</v>
      </c>
      <c r="C36" s="91" t="s">
        <v>22</v>
      </c>
      <c r="D36" s="92" t="s">
        <v>154</v>
      </c>
      <c r="E36" s="90">
        <v>0</v>
      </c>
      <c r="F36" s="90" t="str">
        <f t="shared" si="0"/>
        <v>budynek mieszkalny</v>
      </c>
      <c r="G36" s="90" t="s">
        <v>10</v>
      </c>
      <c r="H36" s="93">
        <f>6*2*10</f>
        <v>120</v>
      </c>
      <c r="I36" s="94">
        <f t="shared" si="2"/>
        <v>2.04</v>
      </c>
      <c r="J36" s="95" t="s">
        <v>24</v>
      </c>
      <c r="K36" s="178" t="s">
        <v>71</v>
      </c>
      <c r="L36" s="185"/>
      <c r="M36" s="189"/>
      <c r="N36" s="182"/>
      <c r="O36" s="182"/>
      <c r="P36" s="182"/>
    </row>
    <row r="37" spans="1:16" s="57" customFormat="1" ht="11.25">
      <c r="A37" s="90">
        <f t="shared" si="1"/>
        <v>36</v>
      </c>
      <c r="B37" s="90" t="s">
        <v>22</v>
      </c>
      <c r="C37" s="91" t="s">
        <v>22</v>
      </c>
      <c r="D37" s="92" t="s">
        <v>155</v>
      </c>
      <c r="E37" s="90">
        <v>2</v>
      </c>
      <c r="F37" s="90" t="str">
        <f t="shared" si="0"/>
        <v>budynek gospodarczy</v>
      </c>
      <c r="G37" s="90" t="s">
        <v>10</v>
      </c>
      <c r="H37" s="93">
        <f>6*2*11</f>
        <v>132</v>
      </c>
      <c r="I37" s="94">
        <f t="shared" si="2"/>
        <v>2.244</v>
      </c>
      <c r="J37" s="95" t="s">
        <v>26</v>
      </c>
      <c r="K37" s="178" t="s">
        <v>72</v>
      </c>
      <c r="L37" s="185"/>
      <c r="M37" s="189"/>
      <c r="N37" s="182"/>
      <c r="O37" s="182"/>
      <c r="P37" s="182"/>
    </row>
    <row r="38" spans="1:16" s="57" customFormat="1" ht="11.25">
      <c r="A38" s="90">
        <f t="shared" si="1"/>
        <v>37</v>
      </c>
      <c r="B38" s="90" t="s">
        <v>22</v>
      </c>
      <c r="C38" s="91" t="s">
        <v>22</v>
      </c>
      <c r="D38" s="92" t="s">
        <v>155</v>
      </c>
      <c r="E38" s="90">
        <v>2</v>
      </c>
      <c r="F38" s="90" t="str">
        <f t="shared" si="0"/>
        <v>budynek gospodarczy</v>
      </c>
      <c r="G38" s="90" t="s">
        <v>10</v>
      </c>
      <c r="H38" s="93">
        <f>5*5</f>
        <v>25</v>
      </c>
      <c r="I38" s="94">
        <f t="shared" si="2"/>
        <v>0.42500000000000004</v>
      </c>
      <c r="J38" s="95" t="s">
        <v>23</v>
      </c>
      <c r="K38" s="178" t="s">
        <v>70</v>
      </c>
      <c r="L38" s="185"/>
      <c r="M38" s="189"/>
      <c r="N38" s="182"/>
      <c r="O38" s="182"/>
      <c r="P38" s="182"/>
    </row>
    <row r="39" spans="1:16" s="57" customFormat="1" ht="11.25">
      <c r="A39" s="90">
        <v>38</v>
      </c>
      <c r="B39" s="158" t="s">
        <v>22</v>
      </c>
      <c r="C39" s="159" t="s">
        <v>22</v>
      </c>
      <c r="D39" s="160" t="s">
        <v>64</v>
      </c>
      <c r="E39" s="90">
        <v>3</v>
      </c>
      <c r="F39" s="158" t="s">
        <v>18</v>
      </c>
      <c r="G39" s="158" t="s">
        <v>10</v>
      </c>
      <c r="H39" s="93">
        <v>670</v>
      </c>
      <c r="I39" s="94">
        <f t="shared" si="2"/>
        <v>11.39</v>
      </c>
      <c r="J39" s="161" t="s">
        <v>23</v>
      </c>
      <c r="K39" s="179" t="s">
        <v>203</v>
      </c>
      <c r="L39" s="235"/>
      <c r="M39" s="189"/>
      <c r="N39" s="182"/>
      <c r="O39" s="182"/>
      <c r="P39" s="182"/>
    </row>
    <row r="40" spans="1:16" s="57" customFormat="1" ht="11.25">
      <c r="A40" s="90">
        <v>39</v>
      </c>
      <c r="B40" s="90" t="s">
        <v>22</v>
      </c>
      <c r="C40" s="91" t="s">
        <v>22</v>
      </c>
      <c r="D40" s="92" t="s">
        <v>156</v>
      </c>
      <c r="E40" s="90">
        <v>2</v>
      </c>
      <c r="F40" s="90" t="str">
        <f t="shared" si="0"/>
        <v>budynek gospodarczy</v>
      </c>
      <c r="G40" s="90" t="s">
        <v>10</v>
      </c>
      <c r="H40" s="93">
        <f>5*2*10</f>
        <v>100</v>
      </c>
      <c r="I40" s="94">
        <f t="shared" si="2"/>
        <v>1.7000000000000002</v>
      </c>
      <c r="J40" s="95" t="s">
        <v>26</v>
      </c>
      <c r="K40" s="178" t="s">
        <v>72</v>
      </c>
      <c r="L40" s="185"/>
      <c r="M40" s="189"/>
      <c r="N40" s="182"/>
      <c r="O40" s="182"/>
      <c r="P40" s="182"/>
    </row>
    <row r="41" spans="1:16" s="57" customFormat="1" ht="11.25">
      <c r="A41" s="90">
        <f t="shared" si="1"/>
        <v>40</v>
      </c>
      <c r="B41" s="90" t="s">
        <v>22</v>
      </c>
      <c r="C41" s="91" t="s">
        <v>22</v>
      </c>
      <c r="D41" s="92" t="s">
        <v>156</v>
      </c>
      <c r="E41" s="90">
        <v>2</v>
      </c>
      <c r="F41" s="90" t="str">
        <f t="shared" si="0"/>
        <v>budynek gospodarczy</v>
      </c>
      <c r="G41" s="90" t="s">
        <v>10</v>
      </c>
      <c r="H41" s="93">
        <f>5*10</f>
        <v>50</v>
      </c>
      <c r="I41" s="94">
        <f t="shared" si="2"/>
        <v>0.8500000000000001</v>
      </c>
      <c r="J41" s="95" t="s">
        <v>26</v>
      </c>
      <c r="K41" s="178" t="s">
        <v>72</v>
      </c>
      <c r="L41" s="185"/>
      <c r="M41" s="189"/>
      <c r="N41" s="182"/>
      <c r="O41" s="182"/>
      <c r="P41" s="182"/>
    </row>
    <row r="42" spans="1:16" s="57" customFormat="1" ht="11.25">
      <c r="A42" s="90">
        <f t="shared" si="1"/>
        <v>41</v>
      </c>
      <c r="B42" s="90" t="s">
        <v>22</v>
      </c>
      <c r="C42" s="91" t="s">
        <v>22</v>
      </c>
      <c r="D42" s="92" t="s">
        <v>157</v>
      </c>
      <c r="E42" s="90">
        <v>0</v>
      </c>
      <c r="F42" s="90" t="str">
        <f t="shared" si="0"/>
        <v>budynek mieszkalny</v>
      </c>
      <c r="G42" s="90" t="s">
        <v>10</v>
      </c>
      <c r="H42" s="93">
        <f>6*2*8</f>
        <v>96</v>
      </c>
      <c r="I42" s="94">
        <f t="shared" si="2"/>
        <v>1.6320000000000001</v>
      </c>
      <c r="J42" s="95" t="s">
        <v>24</v>
      </c>
      <c r="K42" s="178" t="s">
        <v>71</v>
      </c>
      <c r="L42" s="185"/>
      <c r="M42" s="189"/>
      <c r="N42" s="182"/>
      <c r="O42" s="182"/>
      <c r="P42" s="182"/>
    </row>
    <row r="43" spans="1:16" s="57" customFormat="1" ht="11.25">
      <c r="A43" s="90">
        <f t="shared" si="1"/>
        <v>42</v>
      </c>
      <c r="B43" s="90" t="s">
        <v>22</v>
      </c>
      <c r="C43" s="91" t="s">
        <v>22</v>
      </c>
      <c r="D43" s="92" t="s">
        <v>136</v>
      </c>
      <c r="E43" s="90">
        <v>2</v>
      </c>
      <c r="F43" s="90" t="str">
        <f t="shared" si="0"/>
        <v>budynek gospodarczy</v>
      </c>
      <c r="G43" s="90" t="s">
        <v>10</v>
      </c>
      <c r="H43" s="93">
        <f>8*12</f>
        <v>96</v>
      </c>
      <c r="I43" s="94">
        <f t="shared" si="2"/>
        <v>1.6320000000000001</v>
      </c>
      <c r="J43" s="95" t="s">
        <v>26</v>
      </c>
      <c r="K43" s="178" t="s">
        <v>72</v>
      </c>
      <c r="L43" s="185"/>
      <c r="M43" s="189"/>
      <c r="N43" s="182"/>
      <c r="O43" s="182"/>
      <c r="P43" s="182"/>
    </row>
    <row r="44" spans="1:16" s="57" customFormat="1" ht="11.25">
      <c r="A44" s="90">
        <f t="shared" si="1"/>
        <v>43</v>
      </c>
      <c r="B44" s="90" t="s">
        <v>22</v>
      </c>
      <c r="C44" s="91" t="s">
        <v>22</v>
      </c>
      <c r="D44" s="92" t="s">
        <v>136</v>
      </c>
      <c r="E44" s="90">
        <v>0</v>
      </c>
      <c r="F44" s="90" t="str">
        <f t="shared" si="0"/>
        <v>budynek mieszkalny</v>
      </c>
      <c r="G44" s="90" t="s">
        <v>10</v>
      </c>
      <c r="H44" s="93">
        <f>8*20</f>
        <v>160</v>
      </c>
      <c r="I44" s="94">
        <f t="shared" si="2"/>
        <v>2.72</v>
      </c>
      <c r="J44" s="95" t="s">
        <v>24</v>
      </c>
      <c r="K44" s="178" t="s">
        <v>71</v>
      </c>
      <c r="L44" s="185"/>
      <c r="M44" s="189"/>
      <c r="N44" s="182"/>
      <c r="O44" s="182"/>
      <c r="P44" s="182"/>
    </row>
    <row r="45" spans="1:16" s="57" customFormat="1" ht="11.25">
      <c r="A45" s="90">
        <f t="shared" si="1"/>
        <v>44</v>
      </c>
      <c r="B45" s="90" t="s">
        <v>22</v>
      </c>
      <c r="C45" s="91" t="s">
        <v>22</v>
      </c>
      <c r="D45" s="92" t="s">
        <v>136</v>
      </c>
      <c r="E45" s="90">
        <v>2</v>
      </c>
      <c r="F45" s="90" t="str">
        <f t="shared" si="0"/>
        <v>budynek gospodarczy</v>
      </c>
      <c r="G45" s="90" t="s">
        <v>10</v>
      </c>
      <c r="H45" s="93">
        <f>3*6</f>
        <v>18</v>
      </c>
      <c r="I45" s="94">
        <f t="shared" si="2"/>
        <v>0.30600000000000005</v>
      </c>
      <c r="J45" s="95" t="s">
        <v>23</v>
      </c>
      <c r="K45" s="178" t="s">
        <v>70</v>
      </c>
      <c r="L45" s="185"/>
      <c r="M45" s="189"/>
      <c r="N45" s="182"/>
      <c r="O45" s="182"/>
      <c r="P45" s="182"/>
    </row>
    <row r="46" spans="1:16" s="57" customFormat="1" ht="11.25">
      <c r="A46" s="90">
        <f t="shared" si="1"/>
        <v>45</v>
      </c>
      <c r="B46" s="90" t="s">
        <v>22</v>
      </c>
      <c r="C46" s="91" t="s">
        <v>22</v>
      </c>
      <c r="D46" s="92" t="s">
        <v>136</v>
      </c>
      <c r="E46" s="90">
        <v>2</v>
      </c>
      <c r="F46" s="90" t="str">
        <f t="shared" si="0"/>
        <v>budynek gospodarczy</v>
      </c>
      <c r="G46" s="90" t="s">
        <v>10</v>
      </c>
      <c r="H46" s="93">
        <f>6*6</f>
        <v>36</v>
      </c>
      <c r="I46" s="94">
        <f t="shared" si="2"/>
        <v>0.6120000000000001</v>
      </c>
      <c r="J46" s="95" t="s">
        <v>23</v>
      </c>
      <c r="K46" s="178" t="s">
        <v>70</v>
      </c>
      <c r="L46" s="185"/>
      <c r="M46" s="188"/>
      <c r="N46" s="182"/>
      <c r="O46" s="182"/>
      <c r="P46" s="182"/>
    </row>
    <row r="47" spans="1:16" s="57" customFormat="1" ht="11.25">
      <c r="A47" s="90">
        <v>46</v>
      </c>
      <c r="B47" s="90" t="s">
        <v>22</v>
      </c>
      <c r="C47" s="91" t="s">
        <v>22</v>
      </c>
      <c r="D47" s="92" t="s">
        <v>158</v>
      </c>
      <c r="E47" s="90">
        <v>2</v>
      </c>
      <c r="F47" s="90" t="str">
        <f t="shared" si="0"/>
        <v>budynek gospodarczy</v>
      </c>
      <c r="G47" s="90" t="s">
        <v>10</v>
      </c>
      <c r="H47" s="96">
        <f>6*2*12</f>
        <v>144</v>
      </c>
      <c r="I47" s="94">
        <f t="shared" si="2"/>
        <v>2.4480000000000004</v>
      </c>
      <c r="J47" s="95" t="s">
        <v>26</v>
      </c>
      <c r="K47" s="178" t="s">
        <v>72</v>
      </c>
      <c r="L47" s="185"/>
      <c r="M47" s="189"/>
      <c r="N47" s="182"/>
      <c r="O47" s="182"/>
      <c r="P47" s="182"/>
    </row>
    <row r="48" spans="1:16" s="57" customFormat="1" ht="11.25">
      <c r="A48" s="90">
        <f t="shared" si="1"/>
        <v>47</v>
      </c>
      <c r="B48" s="90" t="s">
        <v>22</v>
      </c>
      <c r="C48" s="91" t="s">
        <v>22</v>
      </c>
      <c r="D48" s="92" t="s">
        <v>158</v>
      </c>
      <c r="E48" s="90">
        <v>2</v>
      </c>
      <c r="F48" s="90" t="str">
        <f t="shared" si="0"/>
        <v>budynek gospodarczy</v>
      </c>
      <c r="G48" s="90" t="s">
        <v>10</v>
      </c>
      <c r="H48" s="96">
        <f>6*2*5</f>
        <v>60</v>
      </c>
      <c r="I48" s="94">
        <f t="shared" si="2"/>
        <v>1.02</v>
      </c>
      <c r="J48" s="95" t="s">
        <v>26</v>
      </c>
      <c r="K48" s="178" t="s">
        <v>72</v>
      </c>
      <c r="L48" s="185"/>
      <c r="M48" s="189"/>
      <c r="N48" s="182"/>
      <c r="O48" s="182"/>
      <c r="P48" s="182"/>
    </row>
    <row r="49" spans="1:16" s="57" customFormat="1" ht="11.25">
      <c r="A49" s="90">
        <f t="shared" si="1"/>
        <v>48</v>
      </c>
      <c r="B49" s="90" t="s">
        <v>22</v>
      </c>
      <c r="C49" s="91" t="s">
        <v>22</v>
      </c>
      <c r="D49" s="92" t="s">
        <v>158</v>
      </c>
      <c r="E49" s="90">
        <v>2</v>
      </c>
      <c r="F49" s="90" t="str">
        <f t="shared" si="0"/>
        <v>budynek gospodarczy</v>
      </c>
      <c r="G49" s="90" t="s">
        <v>10</v>
      </c>
      <c r="H49" s="96">
        <f>9*2*22</f>
        <v>396</v>
      </c>
      <c r="I49" s="94">
        <f t="shared" si="2"/>
        <v>6.732</v>
      </c>
      <c r="J49" s="95" t="s">
        <v>26</v>
      </c>
      <c r="K49" s="178" t="s">
        <v>72</v>
      </c>
      <c r="L49" s="185"/>
      <c r="M49" s="189"/>
      <c r="N49" s="182"/>
      <c r="O49" s="182"/>
      <c r="P49" s="182"/>
    </row>
    <row r="50" spans="1:16" s="57" customFormat="1" ht="11.25">
      <c r="A50" s="90">
        <f t="shared" si="1"/>
        <v>49</v>
      </c>
      <c r="B50" s="90" t="s">
        <v>22</v>
      </c>
      <c r="C50" s="91" t="s">
        <v>22</v>
      </c>
      <c r="D50" s="92" t="s">
        <v>159</v>
      </c>
      <c r="E50" s="90">
        <v>2</v>
      </c>
      <c r="F50" s="90" t="str">
        <f t="shared" si="0"/>
        <v>budynek gospodarczy</v>
      </c>
      <c r="G50" s="90" t="s">
        <v>10</v>
      </c>
      <c r="H50" s="96">
        <f>6*2*20</f>
        <v>240</v>
      </c>
      <c r="I50" s="94">
        <f t="shared" si="2"/>
        <v>4.08</v>
      </c>
      <c r="J50" s="95" t="s">
        <v>26</v>
      </c>
      <c r="K50" s="178" t="s">
        <v>72</v>
      </c>
      <c r="L50" s="185"/>
      <c r="M50" s="189"/>
      <c r="N50" s="182"/>
      <c r="O50" s="182"/>
      <c r="P50" s="182"/>
    </row>
    <row r="51" spans="1:16" s="57" customFormat="1" ht="11.25">
      <c r="A51" s="90">
        <v>50</v>
      </c>
      <c r="B51" s="158" t="s">
        <v>22</v>
      </c>
      <c r="C51" s="159" t="s">
        <v>22</v>
      </c>
      <c r="D51" s="160" t="s">
        <v>210</v>
      </c>
      <c r="E51" s="90">
        <v>3</v>
      </c>
      <c r="F51" s="158" t="s">
        <v>18</v>
      </c>
      <c r="G51" s="158" t="s">
        <v>10</v>
      </c>
      <c r="H51" s="96">
        <v>30</v>
      </c>
      <c r="I51" s="94">
        <f t="shared" si="2"/>
        <v>0.51</v>
      </c>
      <c r="J51" s="161" t="s">
        <v>23</v>
      </c>
      <c r="K51" s="179" t="s">
        <v>203</v>
      </c>
      <c r="L51" s="235"/>
      <c r="M51" s="189"/>
      <c r="N51" s="182"/>
      <c r="O51" s="182"/>
      <c r="P51" s="182"/>
    </row>
    <row r="52" spans="1:16" s="57" customFormat="1" ht="11.25">
      <c r="A52" s="90">
        <v>51</v>
      </c>
      <c r="B52" s="158" t="s">
        <v>22</v>
      </c>
      <c r="C52" s="159" t="s">
        <v>22</v>
      </c>
      <c r="D52" s="160" t="s">
        <v>210</v>
      </c>
      <c r="E52" s="90">
        <v>2</v>
      </c>
      <c r="F52" s="158" t="s">
        <v>192</v>
      </c>
      <c r="G52" s="158" t="s">
        <v>10</v>
      </c>
      <c r="H52" s="96">
        <v>40</v>
      </c>
      <c r="I52" s="94">
        <f t="shared" si="2"/>
        <v>0.68</v>
      </c>
      <c r="J52" s="161" t="s">
        <v>24</v>
      </c>
      <c r="K52" s="179" t="s">
        <v>203</v>
      </c>
      <c r="L52" s="235"/>
      <c r="M52" s="189"/>
      <c r="N52" s="182"/>
      <c r="O52" s="182"/>
      <c r="P52" s="182"/>
    </row>
    <row r="53" spans="1:16" s="57" customFormat="1" ht="11.25">
      <c r="A53" s="90">
        <v>52</v>
      </c>
      <c r="B53" s="158" t="s">
        <v>22</v>
      </c>
      <c r="C53" s="159" t="s">
        <v>22</v>
      </c>
      <c r="D53" s="160" t="s">
        <v>210</v>
      </c>
      <c r="E53" s="90">
        <v>2</v>
      </c>
      <c r="F53" s="158" t="s">
        <v>192</v>
      </c>
      <c r="G53" s="158" t="s">
        <v>10</v>
      </c>
      <c r="H53" s="96">
        <v>40</v>
      </c>
      <c r="I53" s="94">
        <f t="shared" si="2"/>
        <v>0.68</v>
      </c>
      <c r="J53" s="161" t="s">
        <v>24</v>
      </c>
      <c r="K53" s="179" t="s">
        <v>203</v>
      </c>
      <c r="L53" s="235"/>
      <c r="M53" s="189"/>
      <c r="N53" s="182"/>
      <c r="O53" s="182"/>
      <c r="P53" s="182"/>
    </row>
    <row r="54" spans="1:16" s="57" customFormat="1" ht="11.25">
      <c r="A54" s="90">
        <v>53</v>
      </c>
      <c r="B54" s="158" t="s">
        <v>22</v>
      </c>
      <c r="C54" s="159" t="s">
        <v>22</v>
      </c>
      <c r="D54" s="160" t="s">
        <v>210</v>
      </c>
      <c r="E54" s="90">
        <v>2</v>
      </c>
      <c r="F54" s="90" t="str">
        <f t="shared" si="0"/>
        <v>budynek gospodarczy</v>
      </c>
      <c r="G54" s="158" t="s">
        <v>10</v>
      </c>
      <c r="H54" s="96">
        <v>200</v>
      </c>
      <c r="I54" s="94">
        <f t="shared" si="2"/>
        <v>3.4000000000000004</v>
      </c>
      <c r="J54" s="161" t="s">
        <v>26</v>
      </c>
      <c r="K54" s="179" t="s">
        <v>203</v>
      </c>
      <c r="L54" s="235"/>
      <c r="M54" s="189"/>
      <c r="N54" s="182"/>
      <c r="O54" s="182"/>
      <c r="P54" s="182"/>
    </row>
    <row r="55" spans="1:16" s="57" customFormat="1" ht="11.25">
      <c r="A55" s="90">
        <v>54</v>
      </c>
      <c r="B55" s="90" t="s">
        <v>22</v>
      </c>
      <c r="C55" s="91" t="s">
        <v>22</v>
      </c>
      <c r="D55" s="92" t="s">
        <v>160</v>
      </c>
      <c r="E55" s="90">
        <v>2</v>
      </c>
      <c r="F55" s="90" t="str">
        <f t="shared" si="0"/>
        <v>budynek gospodarczy</v>
      </c>
      <c r="G55" s="90" t="s">
        <v>10</v>
      </c>
      <c r="H55" s="96">
        <f>5*10</f>
        <v>50</v>
      </c>
      <c r="I55" s="94">
        <f t="shared" si="2"/>
        <v>0.8500000000000001</v>
      </c>
      <c r="J55" s="95" t="s">
        <v>26</v>
      </c>
      <c r="K55" s="178" t="s">
        <v>72</v>
      </c>
      <c r="L55" s="185"/>
      <c r="M55" s="189"/>
      <c r="N55" s="182"/>
      <c r="O55" s="182"/>
      <c r="P55" s="182"/>
    </row>
    <row r="56" spans="1:16" s="57" customFormat="1" ht="11.25">
      <c r="A56" s="90">
        <f t="shared" si="1"/>
        <v>55</v>
      </c>
      <c r="B56" s="90" t="s">
        <v>22</v>
      </c>
      <c r="C56" s="91" t="s">
        <v>22</v>
      </c>
      <c r="D56" s="92" t="s">
        <v>93</v>
      </c>
      <c r="E56" s="90">
        <v>2</v>
      </c>
      <c r="F56" s="90" t="str">
        <f t="shared" si="0"/>
        <v>budynek gospodarczy</v>
      </c>
      <c r="G56" s="90" t="s">
        <v>10</v>
      </c>
      <c r="H56" s="96">
        <f>5*10</f>
        <v>50</v>
      </c>
      <c r="I56" s="94">
        <f t="shared" si="2"/>
        <v>0.8500000000000001</v>
      </c>
      <c r="J56" s="95" t="s">
        <v>26</v>
      </c>
      <c r="K56" s="178" t="s">
        <v>72</v>
      </c>
      <c r="L56" s="185"/>
      <c r="M56" s="189"/>
      <c r="N56" s="182"/>
      <c r="O56" s="182"/>
      <c r="P56" s="182"/>
    </row>
    <row r="57" spans="1:16" s="57" customFormat="1" ht="11.25">
      <c r="A57" s="90">
        <v>56</v>
      </c>
      <c r="B57" s="90" t="s">
        <v>22</v>
      </c>
      <c r="C57" s="91" t="s">
        <v>22</v>
      </c>
      <c r="D57" s="92" t="s">
        <v>161</v>
      </c>
      <c r="E57" s="90">
        <v>0</v>
      </c>
      <c r="F57" s="90" t="str">
        <f t="shared" si="0"/>
        <v>budynek mieszkalny</v>
      </c>
      <c r="G57" s="90" t="s">
        <v>10</v>
      </c>
      <c r="H57" s="93">
        <f>7*16*2</f>
        <v>224</v>
      </c>
      <c r="I57" s="94">
        <f t="shared" si="2"/>
        <v>3.8080000000000003</v>
      </c>
      <c r="J57" s="95" t="s">
        <v>24</v>
      </c>
      <c r="K57" s="178" t="s">
        <v>71</v>
      </c>
      <c r="L57" s="185"/>
      <c r="M57" s="189"/>
      <c r="N57" s="182"/>
      <c r="O57" s="182"/>
      <c r="P57" s="182"/>
    </row>
    <row r="58" spans="1:16" s="57" customFormat="1" ht="11.25">
      <c r="A58" s="90">
        <f t="shared" si="1"/>
        <v>57</v>
      </c>
      <c r="B58" s="90" t="s">
        <v>22</v>
      </c>
      <c r="C58" s="91" t="s">
        <v>22</v>
      </c>
      <c r="D58" s="92" t="s">
        <v>161</v>
      </c>
      <c r="E58" s="90">
        <v>2</v>
      </c>
      <c r="F58" s="90" t="str">
        <f t="shared" si="0"/>
        <v>budynek gospodarczy</v>
      </c>
      <c r="G58" s="90" t="s">
        <v>10</v>
      </c>
      <c r="H58" s="93">
        <f>5*2*22</f>
        <v>220</v>
      </c>
      <c r="I58" s="94">
        <f t="shared" si="2"/>
        <v>3.74</v>
      </c>
      <c r="J58" s="95" t="s">
        <v>26</v>
      </c>
      <c r="K58" s="178" t="s">
        <v>72</v>
      </c>
      <c r="L58" s="185"/>
      <c r="M58" s="190"/>
      <c r="N58" s="181"/>
      <c r="O58" s="182"/>
      <c r="P58" s="182"/>
    </row>
    <row r="59" spans="1:16" s="57" customFormat="1" ht="11.25">
      <c r="A59" s="90">
        <f t="shared" si="1"/>
        <v>58</v>
      </c>
      <c r="B59" s="90" t="s">
        <v>22</v>
      </c>
      <c r="C59" s="91" t="s">
        <v>22</v>
      </c>
      <c r="D59" s="92" t="s">
        <v>162</v>
      </c>
      <c r="E59" s="90">
        <v>2</v>
      </c>
      <c r="F59" s="90" t="str">
        <f>IF(E59=2,"budynek gospodarczy","budynek mieszkalny")</f>
        <v>budynek gospodarczy</v>
      </c>
      <c r="G59" s="90" t="s">
        <v>10</v>
      </c>
      <c r="H59" s="93">
        <f>6*20</f>
        <v>120</v>
      </c>
      <c r="I59" s="94">
        <f t="shared" si="2"/>
        <v>2.04</v>
      </c>
      <c r="J59" s="95" t="s">
        <v>26</v>
      </c>
      <c r="K59" s="178" t="s">
        <v>72</v>
      </c>
      <c r="L59" s="185"/>
      <c r="M59" s="189"/>
      <c r="N59" s="182"/>
      <c r="O59" s="182"/>
      <c r="P59" s="182"/>
    </row>
    <row r="60" spans="1:16" s="57" customFormat="1" ht="11.25">
      <c r="A60" s="90">
        <f>A59+1</f>
        <v>59</v>
      </c>
      <c r="B60" s="90" t="s">
        <v>22</v>
      </c>
      <c r="C60" s="91" t="s">
        <v>22</v>
      </c>
      <c r="D60" s="92" t="s">
        <v>162</v>
      </c>
      <c r="E60" s="90">
        <v>2</v>
      </c>
      <c r="F60" s="90" t="str">
        <f>IF(E60=2,"budynek gospodarczy","budynek mieszkalny")</f>
        <v>budynek gospodarczy</v>
      </c>
      <c r="G60" s="90" t="s">
        <v>10</v>
      </c>
      <c r="H60" s="93">
        <f>4.5*10</f>
        <v>45</v>
      </c>
      <c r="I60" s="94">
        <f t="shared" si="2"/>
        <v>0.765</v>
      </c>
      <c r="J60" s="95" t="s">
        <v>23</v>
      </c>
      <c r="K60" s="178" t="s">
        <v>70</v>
      </c>
      <c r="L60" s="185"/>
      <c r="M60" s="189"/>
      <c r="N60" s="182"/>
      <c r="O60" s="182"/>
      <c r="P60" s="182"/>
    </row>
    <row r="61" spans="1:16" s="57" customFormat="1" ht="11.25">
      <c r="A61" s="90">
        <f>A60+1</f>
        <v>60</v>
      </c>
      <c r="B61" s="90" t="s">
        <v>22</v>
      </c>
      <c r="C61" s="91" t="s">
        <v>22</v>
      </c>
      <c r="D61" s="92" t="s">
        <v>61</v>
      </c>
      <c r="E61" s="90">
        <v>2</v>
      </c>
      <c r="F61" s="90" t="str">
        <f>IF(E61=2,"budynek gospodarczy","budynek mieszkalny")</f>
        <v>budynek gospodarczy</v>
      </c>
      <c r="G61" s="90" t="s">
        <v>10</v>
      </c>
      <c r="H61" s="93">
        <f>5*2*12</f>
        <v>120</v>
      </c>
      <c r="I61" s="94">
        <f>0.017*H61</f>
        <v>2.04</v>
      </c>
      <c r="J61" s="95" t="s">
        <v>26</v>
      </c>
      <c r="K61" s="178" t="s">
        <v>72</v>
      </c>
      <c r="L61" s="185"/>
      <c r="M61" s="189"/>
      <c r="N61" s="182"/>
      <c r="O61" s="182"/>
      <c r="P61" s="182"/>
    </row>
    <row r="62" spans="9:12" ht="11.25">
      <c r="I62" s="55"/>
      <c r="J62" s="5"/>
      <c r="K62" s="5"/>
      <c r="L62" s="5"/>
    </row>
    <row r="63" spans="7:12" ht="11.25">
      <c r="G63" s="2" t="s">
        <v>11</v>
      </c>
      <c r="H63" s="12">
        <f>SUM(H2:H61)</f>
        <v>6583</v>
      </c>
      <c r="I63" s="56">
        <f>SUM(I2:I61)</f>
        <v>111.91100000000003</v>
      </c>
      <c r="J63" s="6"/>
      <c r="K63" s="6"/>
      <c r="L63" s="6"/>
    </row>
    <row r="64" spans="10:15" ht="11.25">
      <c r="J64" s="259" t="s">
        <v>14</v>
      </c>
      <c r="K64" s="260"/>
      <c r="L64" s="260"/>
      <c r="M64" s="260"/>
      <c r="N64" s="260"/>
      <c r="O64" s="260"/>
    </row>
    <row r="65" spans="6:15" ht="11.25">
      <c r="F65" s="7" t="s">
        <v>12</v>
      </c>
      <c r="G65" s="7" t="s">
        <v>13</v>
      </c>
      <c r="H65" s="7" t="s">
        <v>14</v>
      </c>
      <c r="I65" s="7" t="s">
        <v>15</v>
      </c>
      <c r="J65" s="215" t="s">
        <v>199</v>
      </c>
      <c r="K65" s="215" t="s">
        <v>200</v>
      </c>
      <c r="L65" s="157">
        <v>2015</v>
      </c>
      <c r="M65" s="157">
        <v>2017</v>
      </c>
      <c r="N65" s="157">
        <v>2022</v>
      </c>
      <c r="O65" s="157">
        <v>2032</v>
      </c>
    </row>
    <row r="66" spans="6:15" ht="11.25">
      <c r="F66" s="37" t="s">
        <v>221</v>
      </c>
      <c r="G66" s="9">
        <v>4</v>
      </c>
      <c r="H66" s="11">
        <f>SUMIF(F$2:F61,F66,H$2:H61)</f>
        <v>600</v>
      </c>
      <c r="I66" s="11">
        <f>SUMIF(F$2:F61,F66,I$2:I61)</f>
        <v>10.200000000000001</v>
      </c>
      <c r="J66" s="216"/>
      <c r="K66" s="216"/>
      <c r="L66" s="11">
        <f>_xlfn.SUMIFS(H$2:H$61,K$2:K$61,L$65,F$2:F$61,F66)</f>
        <v>0</v>
      </c>
      <c r="M66" s="11">
        <f>_xlfn.SUMIFS(H$2:H$61,K$2:K$61,M$65,F$2:F$61,F66)</f>
        <v>0</v>
      </c>
      <c r="N66" s="11">
        <f>_xlfn.SUMIFS(H$2:H$61,K$2:K$61,N$65,F$2:F$61,F66)</f>
        <v>600</v>
      </c>
      <c r="O66" s="11">
        <f>_xlfn.SUMIFS(H$2:H$61,K$2:K$61,O$65,F$2:F$61,F66)</f>
        <v>0</v>
      </c>
    </row>
    <row r="67" spans="6:15" ht="11.25">
      <c r="F67" s="37" t="s">
        <v>192</v>
      </c>
      <c r="G67" s="9">
        <v>53</v>
      </c>
      <c r="H67" s="11">
        <f>SUMIF(F$2:F61,F67,H$2:H61)</f>
        <v>4883</v>
      </c>
      <c r="I67" s="11">
        <f>SUMIF(F$2:F61,F67,I$2:I61)</f>
        <v>83.01100000000002</v>
      </c>
      <c r="J67" s="242"/>
      <c r="K67" s="216">
        <v>599.27</v>
      </c>
      <c r="L67" s="11">
        <f>_xlfn.SUMIFS(H$2:H$61,K$2:K$61,L$65,F$2:F$61,F67)</f>
        <v>280</v>
      </c>
      <c r="M67" s="11">
        <f>_xlfn.SUMIFS(H$2:H$61,K$2:K$61,M$65,F$2:F$61,F67)</f>
        <v>569</v>
      </c>
      <c r="N67" s="11">
        <f>_xlfn.SUMIFS(H$2:H$61,K$2:K$61,N$65,F$2:F$61,F67)</f>
        <v>0</v>
      </c>
      <c r="O67" s="11">
        <f>_xlfn.SUMIFS(H$2:H$61,K$2:K$61,O$65,F$2:F$61,F67)</f>
        <v>4034</v>
      </c>
    </row>
    <row r="68" spans="6:15" ht="11.25">
      <c r="F68" s="9" t="s">
        <v>18</v>
      </c>
      <c r="G68" s="9">
        <v>3</v>
      </c>
      <c r="H68" s="11">
        <f>SUMIF(F$2:F61,F68,H$2:H61)</f>
        <v>1100</v>
      </c>
      <c r="I68" s="11">
        <f>SUMIF(F$2:F61,F68,I$2:I61)</f>
        <v>18.700000000000003</v>
      </c>
      <c r="J68" s="216">
        <v>1117.059</v>
      </c>
      <c r="K68" s="216">
        <v>42.37</v>
      </c>
      <c r="L68" s="11">
        <f>_xlfn.SUMIFS(H$2:H$61,K$2:K$61,L$65,F$2:F$61,F68)</f>
        <v>1100</v>
      </c>
      <c r="M68" s="11">
        <f>_xlfn.SUMIFS(H$2:H$61,K$2:K$61,M$65,F$2:F$61,F68)</f>
        <v>0</v>
      </c>
      <c r="N68" s="11">
        <f>_xlfn.SUMIFS(H$2:H$61,K$2:K$61,N$65,F$2:F$61,F68)</f>
        <v>0</v>
      </c>
      <c r="O68" s="11">
        <f>_xlfn.SUMIFS(H$2:H$61,K$2:K$61,O$65,F$2:F$61,F68)</f>
        <v>0</v>
      </c>
    </row>
    <row r="69" spans="6:15" ht="11.25">
      <c r="F69" s="9" t="s">
        <v>10</v>
      </c>
      <c r="G69" s="9"/>
      <c r="H69" s="11">
        <f>SUMIF(G$2:G61,F69,H$2:H61)</f>
        <v>6583</v>
      </c>
      <c r="I69" s="11">
        <f>SUMIF(G$2:G61,F69,I$2:I61)</f>
        <v>111.91100000000003</v>
      </c>
      <c r="J69" s="216">
        <v>1117.059</v>
      </c>
      <c r="K69" s="216">
        <v>641.64</v>
      </c>
      <c r="L69" s="11">
        <f>_xlfn.SUMIFS(H2:H61,K2:K61,L65,G2:G61,F69)</f>
        <v>1380</v>
      </c>
      <c r="M69" s="11">
        <f>_xlfn.SUMIFS(H2:H61,K2:K61,M65,G2:G61,F69)</f>
        <v>569</v>
      </c>
      <c r="N69" s="11">
        <f>_xlfn.SUMIFS(H2:H61,K2:K61,N65,G2:G61,F69)</f>
        <v>600</v>
      </c>
      <c r="O69" s="11">
        <f>_xlfn.SUMIFS(H2:H61,K2:K61,O65,G2:G61,F69)</f>
        <v>4034</v>
      </c>
    </row>
    <row r="70" spans="6:15" ht="11.25">
      <c r="F70" s="9" t="s">
        <v>19</v>
      </c>
      <c r="G70" s="9"/>
      <c r="H70" s="11">
        <f>SUMIF(G$2:G61,F70,H$2:H61)</f>
        <v>0</v>
      </c>
      <c r="I70" s="11">
        <f>SUMIF(G$2:G61,F70,I$2:I61)</f>
        <v>0</v>
      </c>
      <c r="J70" s="216"/>
      <c r="K70" s="216"/>
      <c r="L70" s="11"/>
      <c r="M70" s="11"/>
      <c r="N70" s="11"/>
      <c r="O70" s="11"/>
    </row>
    <row r="71" spans="6:15" ht="11.25">
      <c r="F71" s="9" t="s">
        <v>20</v>
      </c>
      <c r="G71" s="9"/>
      <c r="H71" s="11"/>
      <c r="I71" s="11"/>
      <c r="J71" s="216"/>
      <c r="K71" s="216"/>
      <c r="L71" s="11"/>
      <c r="M71" s="11"/>
      <c r="N71" s="11"/>
      <c r="O71" s="11"/>
    </row>
    <row r="72" spans="6:15" ht="11.25">
      <c r="F72" s="9" t="s">
        <v>21</v>
      </c>
      <c r="G72" s="9"/>
      <c r="H72" s="11"/>
      <c r="I72" s="11"/>
      <c r="J72" s="216"/>
      <c r="K72" s="216"/>
      <c r="L72" s="11"/>
      <c r="M72" s="11"/>
      <c r="N72" s="11"/>
      <c r="O72" s="11"/>
    </row>
  </sheetData>
  <sheetProtection/>
  <autoFilter ref="A1:P61"/>
  <mergeCells count="1">
    <mergeCell ref="J64:O64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H24" sqref="H24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75"/>
      <c r="N1" s="164"/>
      <c r="O1" s="164"/>
      <c r="P1" s="164"/>
    </row>
    <row r="2" spans="1:16" ht="11.25">
      <c r="A2" s="9">
        <v>1</v>
      </c>
      <c r="B2" s="9" t="s">
        <v>53</v>
      </c>
      <c r="C2" s="84" t="s">
        <v>36</v>
      </c>
      <c r="D2" s="85" t="s">
        <v>163</v>
      </c>
      <c r="E2" s="9">
        <v>2</v>
      </c>
      <c r="F2" s="9" t="str">
        <f aca="true" t="shared" si="0" ref="F2:F7">IF(E2=2,"budynek gospodarczy","budynek mieszkalny")</f>
        <v>budynek gospodarczy</v>
      </c>
      <c r="G2" s="9" t="s">
        <v>10</v>
      </c>
      <c r="H2" s="13">
        <f>3*2*8</f>
        <v>48</v>
      </c>
      <c r="I2" s="54">
        <f aca="true" t="shared" si="1" ref="I2:I7">0.017*H2</f>
        <v>0.8160000000000001</v>
      </c>
      <c r="J2" s="86" t="s">
        <v>23</v>
      </c>
      <c r="K2" s="172" t="s">
        <v>70</v>
      </c>
      <c r="L2" s="192"/>
      <c r="M2" s="192"/>
      <c r="N2" s="173"/>
      <c r="O2" s="174"/>
      <c r="P2" s="174"/>
    </row>
    <row r="3" spans="1:16" ht="11.25">
      <c r="A3" s="9">
        <v>2</v>
      </c>
      <c r="B3" s="9" t="s">
        <v>53</v>
      </c>
      <c r="C3" s="84" t="s">
        <v>36</v>
      </c>
      <c r="D3" s="85" t="s">
        <v>163</v>
      </c>
      <c r="E3" s="9">
        <v>2</v>
      </c>
      <c r="F3" s="9" t="str">
        <f t="shared" si="0"/>
        <v>budynek gospodarczy</v>
      </c>
      <c r="G3" s="9" t="s">
        <v>10</v>
      </c>
      <c r="H3" s="13">
        <f>4*2*12</f>
        <v>96</v>
      </c>
      <c r="I3" s="54">
        <f t="shared" si="1"/>
        <v>1.6320000000000001</v>
      </c>
      <c r="J3" s="86" t="s">
        <v>26</v>
      </c>
      <c r="K3" s="172" t="s">
        <v>72</v>
      </c>
      <c r="L3" s="192"/>
      <c r="M3" s="192"/>
      <c r="N3" s="173"/>
      <c r="O3" s="174"/>
      <c r="P3" s="174"/>
    </row>
    <row r="4" spans="1:16" s="57" customFormat="1" ht="11.25">
      <c r="A4" s="74">
        <v>3</v>
      </c>
      <c r="B4" s="74" t="s">
        <v>53</v>
      </c>
      <c r="C4" s="75" t="s">
        <v>36</v>
      </c>
      <c r="D4" s="76" t="s">
        <v>164</v>
      </c>
      <c r="E4" s="74">
        <v>2</v>
      </c>
      <c r="F4" s="74" t="str">
        <f t="shared" si="0"/>
        <v>budynek gospodarczy</v>
      </c>
      <c r="G4" s="74" t="s">
        <v>10</v>
      </c>
      <c r="H4" s="77">
        <f>3*2*16</f>
        <v>96</v>
      </c>
      <c r="I4" s="78">
        <f t="shared" si="1"/>
        <v>1.6320000000000001</v>
      </c>
      <c r="J4" s="79" t="s">
        <v>26</v>
      </c>
      <c r="K4" s="170" t="s">
        <v>72</v>
      </c>
      <c r="L4" s="165"/>
      <c r="M4" s="165"/>
      <c r="N4" s="191"/>
      <c r="O4" s="167"/>
      <c r="P4" s="167"/>
    </row>
    <row r="5" spans="1:16" s="57" customFormat="1" ht="11.25">
      <c r="A5" s="74">
        <v>4</v>
      </c>
      <c r="B5" s="74" t="s">
        <v>53</v>
      </c>
      <c r="C5" s="75" t="s">
        <v>36</v>
      </c>
      <c r="D5" s="76" t="s">
        <v>165</v>
      </c>
      <c r="E5" s="74">
        <v>2</v>
      </c>
      <c r="F5" s="74" t="str">
        <f t="shared" si="0"/>
        <v>budynek gospodarczy</v>
      </c>
      <c r="G5" s="74" t="s">
        <v>10</v>
      </c>
      <c r="H5" s="77">
        <f>7*2*12</f>
        <v>168</v>
      </c>
      <c r="I5" s="78">
        <f t="shared" si="1"/>
        <v>2.8560000000000003</v>
      </c>
      <c r="J5" s="79" t="s">
        <v>26</v>
      </c>
      <c r="K5" s="170" t="s">
        <v>72</v>
      </c>
      <c r="L5" s="165"/>
      <c r="M5" s="165"/>
      <c r="N5" s="191"/>
      <c r="O5" s="167"/>
      <c r="P5" s="167"/>
    </row>
    <row r="6" spans="1:16" s="57" customFormat="1" ht="11.25">
      <c r="A6" s="74">
        <v>5</v>
      </c>
      <c r="B6" s="74" t="s">
        <v>53</v>
      </c>
      <c r="C6" s="75" t="s">
        <v>36</v>
      </c>
      <c r="D6" s="76" t="s">
        <v>166</v>
      </c>
      <c r="E6" s="74">
        <v>2</v>
      </c>
      <c r="F6" s="74" t="str">
        <f t="shared" si="0"/>
        <v>budynek gospodarczy</v>
      </c>
      <c r="G6" s="74" t="s">
        <v>10</v>
      </c>
      <c r="H6" s="77">
        <f>4*2*20</f>
        <v>160</v>
      </c>
      <c r="I6" s="78">
        <f t="shared" si="1"/>
        <v>2.72</v>
      </c>
      <c r="J6" s="79" t="s">
        <v>26</v>
      </c>
      <c r="K6" s="170" t="s">
        <v>72</v>
      </c>
      <c r="L6" s="165"/>
      <c r="M6" s="165"/>
      <c r="N6" s="191"/>
      <c r="O6" s="167"/>
      <c r="P6" s="167"/>
    </row>
    <row r="7" spans="1:16" s="57" customFormat="1" ht="11.25">
      <c r="A7" s="74">
        <v>6</v>
      </c>
      <c r="B7" s="74" t="s">
        <v>53</v>
      </c>
      <c r="C7" s="75" t="s">
        <v>36</v>
      </c>
      <c r="D7" s="76" t="s">
        <v>166</v>
      </c>
      <c r="E7" s="74">
        <v>2</v>
      </c>
      <c r="F7" s="74" t="str">
        <f t="shared" si="0"/>
        <v>budynek gospodarczy</v>
      </c>
      <c r="G7" s="74" t="s">
        <v>10</v>
      </c>
      <c r="H7" s="77">
        <f>4*2*10</f>
        <v>80</v>
      </c>
      <c r="I7" s="78">
        <f t="shared" si="1"/>
        <v>1.36</v>
      </c>
      <c r="J7" s="79" t="s">
        <v>26</v>
      </c>
      <c r="K7" s="170" t="s">
        <v>72</v>
      </c>
      <c r="L7" s="165"/>
      <c r="M7" s="165"/>
      <c r="N7" s="191"/>
      <c r="O7" s="167"/>
      <c r="P7" s="167"/>
    </row>
    <row r="8" spans="9:12" ht="11.25">
      <c r="I8" s="55"/>
      <c r="J8" s="5"/>
      <c r="K8" s="5"/>
      <c r="L8" s="5"/>
    </row>
    <row r="9" spans="7:12" ht="11.25">
      <c r="G9" s="2" t="s">
        <v>11</v>
      </c>
      <c r="H9" s="12">
        <f>SUM(H2:H7)</f>
        <v>648</v>
      </c>
      <c r="I9" s="56">
        <f>SUM(I2:I7)</f>
        <v>11.016</v>
      </c>
      <c r="J9" s="6"/>
      <c r="K9" s="6"/>
      <c r="L9" s="6"/>
    </row>
    <row r="10" spans="10:15" ht="11.25">
      <c r="J10" s="259" t="s">
        <v>14</v>
      </c>
      <c r="K10" s="260"/>
      <c r="L10" s="260"/>
      <c r="M10" s="260"/>
      <c r="N10" s="260"/>
      <c r="O10" s="260"/>
    </row>
    <row r="11" spans="6:15" ht="11.25">
      <c r="F11" s="7" t="s">
        <v>12</v>
      </c>
      <c r="G11" s="7" t="s">
        <v>13</v>
      </c>
      <c r="H11" s="7" t="s">
        <v>14</v>
      </c>
      <c r="I11" s="7" t="s">
        <v>15</v>
      </c>
      <c r="J11" s="215" t="s">
        <v>199</v>
      </c>
      <c r="K11" s="215" t="s">
        <v>200</v>
      </c>
      <c r="L11" s="157">
        <v>2015</v>
      </c>
      <c r="M11" s="157">
        <v>2017</v>
      </c>
      <c r="N11" s="157">
        <v>2022</v>
      </c>
      <c r="O11" s="157">
        <v>2032</v>
      </c>
    </row>
    <row r="12" spans="6:15" ht="11.25">
      <c r="F12" s="37" t="s">
        <v>221</v>
      </c>
      <c r="G12" s="9"/>
      <c r="H12" s="11">
        <f>SUMIF(F$2:F7,F12,H$2:H7)</f>
        <v>0</v>
      </c>
      <c r="I12" s="11">
        <f>SUMIF(F$2:F7,F12,I$2:I7)</f>
        <v>0</v>
      </c>
      <c r="J12" s="216"/>
      <c r="K12" s="216"/>
      <c r="L12" s="11">
        <f>_xlfn.SUMIFS(H$2:H$7,K$2:K$7,L$11,F$2:F$7,F12)</f>
        <v>0</v>
      </c>
      <c r="M12" s="11">
        <f>_xlfn.SUMIFS(H$2:H$7,K$2:K$7,M$11,F$2:F$7,F12)</f>
        <v>0</v>
      </c>
      <c r="N12" s="11">
        <f>_xlfn.SUMIFS(H$2:H$7,K$2:K$7,N$11,F$2:F$7,F12)</f>
        <v>0</v>
      </c>
      <c r="O12" s="11">
        <f>_xlfn.SUMIFS(H$2:H$7,K$2:K$7,O$11,F$2:F$7,F12)</f>
        <v>0</v>
      </c>
    </row>
    <row r="13" spans="6:15" ht="11.25">
      <c r="F13" s="37" t="s">
        <v>192</v>
      </c>
      <c r="G13" s="9">
        <v>6</v>
      </c>
      <c r="H13" s="11">
        <f>SUMIF(F$2:F7,F13,H$2:H7)</f>
        <v>648</v>
      </c>
      <c r="I13" s="11">
        <f>SUMIF(F$2:F7,F13,I$2:I7)</f>
        <v>11.016</v>
      </c>
      <c r="J13" s="242"/>
      <c r="K13" s="216"/>
      <c r="L13" s="11">
        <f>_xlfn.SUMIFS(H$2:H$7,K$2:K$7,L$11,F$2:F$7,F13)</f>
        <v>0</v>
      </c>
      <c r="M13" s="11">
        <f>_xlfn.SUMIFS(H$2:H$7,K$2:K$7,M$11,F$2:F$7,F13)</f>
        <v>48</v>
      </c>
      <c r="N13" s="11">
        <f>_xlfn.SUMIFS(H$2:H$7,K$2:K$7,N$11,F$2:F$7,F13)</f>
        <v>0</v>
      </c>
      <c r="O13" s="11">
        <f>_xlfn.SUMIFS(H$2:H$7,K$2:K$7,O$11,F$2:F$7,F13)</f>
        <v>600</v>
      </c>
    </row>
    <row r="14" spans="6:15" ht="11.25">
      <c r="F14" s="9" t="s">
        <v>18</v>
      </c>
      <c r="G14" s="9"/>
      <c r="H14" s="11">
        <f>SUMIF(F$2:F7,F14,H$2:H7)</f>
        <v>0</v>
      </c>
      <c r="I14" s="11">
        <f>SUMIF(F$2:F7,F14,I$2:I7)</f>
        <v>0</v>
      </c>
      <c r="J14" s="216">
        <v>7.647</v>
      </c>
      <c r="K14" s="216"/>
      <c r="L14" s="11">
        <f>_xlfn.SUMIFS(H$2:H$7,K$2:K$7,L$11,F$2:F$7,F14)</f>
        <v>0</v>
      </c>
      <c r="M14" s="11">
        <f>_xlfn.SUMIFS(H$2:H$7,K$2:K$7,M$11,F$2:F$7,F14)</f>
        <v>0</v>
      </c>
      <c r="N14" s="11">
        <f>_xlfn.SUMIFS(H$2:H$7,K$2:K$7,N$11,F$2:F$7,F14)</f>
        <v>0</v>
      </c>
      <c r="O14" s="11">
        <f>_xlfn.SUMIFS(H$2:H$7,K$2:K$7,O$11,F$2:F$7,F14)</f>
        <v>0</v>
      </c>
    </row>
    <row r="15" spans="6:15" ht="11.25">
      <c r="F15" s="9" t="s">
        <v>10</v>
      </c>
      <c r="G15" s="9"/>
      <c r="H15" s="11">
        <f>SUMIF(G$2:G7,F15,H$2:H7)</f>
        <v>648</v>
      </c>
      <c r="I15" s="11">
        <f>SUMIF(G$2:G7,F15,I$2:I7)</f>
        <v>11.016</v>
      </c>
      <c r="J15" s="216">
        <v>7.647</v>
      </c>
      <c r="K15" s="216"/>
      <c r="L15" s="11">
        <f>_xlfn.SUMIFS(H2:H7,K2:K7,L11,G2:G7,F15)</f>
        <v>0</v>
      </c>
      <c r="M15" s="11">
        <f>_xlfn.SUMIFS(H2:H7,K2:K7,M11,G2:G7,F15)</f>
        <v>48</v>
      </c>
      <c r="N15" s="11">
        <f>_xlfn.SUMIFS(H2:H7,K2:K7,N11,G2:G7,F15)</f>
        <v>0</v>
      </c>
      <c r="O15" s="11">
        <f>_xlfn.SUMIFS(H2:H7,K2:K7,O11,G2:G7,F15)</f>
        <v>600</v>
      </c>
    </row>
    <row r="16" spans="6:15" ht="11.25">
      <c r="F16" s="9" t="s">
        <v>19</v>
      </c>
      <c r="G16" s="9"/>
      <c r="H16" s="11">
        <f>SUMIF(G$2:G7,F16,H$2:H7)</f>
        <v>0</v>
      </c>
      <c r="I16" s="11">
        <f>SUMIF(G$2:G7,F16,I$2:I7)</f>
        <v>0</v>
      </c>
      <c r="J16" s="216"/>
      <c r="K16" s="216"/>
      <c r="L16" s="11"/>
      <c r="M16" s="11"/>
      <c r="N16" s="68"/>
      <c r="O16" s="11"/>
    </row>
    <row r="17" spans="6:15" ht="11.25">
      <c r="F17" s="9" t="s">
        <v>20</v>
      </c>
      <c r="G17" s="9"/>
      <c r="H17" s="11"/>
      <c r="I17" s="11"/>
      <c r="J17" s="216"/>
      <c r="K17" s="216"/>
      <c r="L17" s="11"/>
      <c r="M17" s="11"/>
      <c r="N17" s="68"/>
      <c r="O17" s="11"/>
    </row>
    <row r="18" spans="6:15" ht="11.25">
      <c r="F18" s="9" t="s">
        <v>21</v>
      </c>
      <c r="G18" s="9"/>
      <c r="H18" s="11"/>
      <c r="I18" s="11"/>
      <c r="J18" s="216"/>
      <c r="K18" s="216"/>
      <c r="L18" s="11"/>
      <c r="M18" s="11"/>
      <c r="N18" s="68"/>
      <c r="O18" s="11"/>
    </row>
  </sheetData>
  <sheetProtection/>
  <autoFilter ref="A1:P7"/>
  <mergeCells count="1">
    <mergeCell ref="J10:O10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N6" sqref="N6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88" t="s">
        <v>0</v>
      </c>
      <c r="B1" s="88" t="s">
        <v>1</v>
      </c>
      <c r="C1" s="88" t="s">
        <v>2</v>
      </c>
      <c r="D1" s="89" t="s">
        <v>3</v>
      </c>
      <c r="E1" s="88"/>
      <c r="F1" s="88" t="s">
        <v>4</v>
      </c>
      <c r="G1" s="88" t="s">
        <v>5</v>
      </c>
      <c r="H1" s="88" t="s">
        <v>6</v>
      </c>
      <c r="I1" s="88" t="s">
        <v>7</v>
      </c>
      <c r="J1" s="88" t="s">
        <v>8</v>
      </c>
      <c r="K1" s="177" t="s">
        <v>9</v>
      </c>
      <c r="L1" s="234"/>
      <c r="M1" s="184"/>
      <c r="N1" s="180"/>
      <c r="O1" s="180"/>
      <c r="P1" s="180"/>
    </row>
    <row r="2" spans="1:16" s="70" customFormat="1" ht="11.25">
      <c r="A2" s="98">
        <v>1</v>
      </c>
      <c r="B2" s="98" t="s">
        <v>35</v>
      </c>
      <c r="C2" s="99" t="s">
        <v>35</v>
      </c>
      <c r="D2" s="100" t="s">
        <v>167</v>
      </c>
      <c r="E2" s="98">
        <v>2</v>
      </c>
      <c r="F2" s="98" t="str">
        <f aca="true" t="shared" si="0" ref="F2:F15">IF(E2=2,"budynek gospodarczy","budynek mieszkalny")</f>
        <v>budynek gospodarczy</v>
      </c>
      <c r="G2" s="98" t="s">
        <v>10</v>
      </c>
      <c r="H2" s="101">
        <f>2*4*8</f>
        <v>64</v>
      </c>
      <c r="I2" s="94">
        <f>0.017*H2</f>
        <v>1.088</v>
      </c>
      <c r="J2" s="102" t="s">
        <v>26</v>
      </c>
      <c r="K2" s="193" t="s">
        <v>72</v>
      </c>
      <c r="L2" s="238"/>
      <c r="M2" s="195"/>
      <c r="N2" s="194"/>
      <c r="O2" s="194"/>
      <c r="P2" s="194"/>
    </row>
    <row r="3" spans="1:16" s="57" customFormat="1" ht="11.25">
      <c r="A3" s="90">
        <v>2</v>
      </c>
      <c r="B3" s="90" t="s">
        <v>35</v>
      </c>
      <c r="C3" s="91" t="s">
        <v>35</v>
      </c>
      <c r="D3" s="92"/>
      <c r="E3" s="90">
        <v>2</v>
      </c>
      <c r="F3" s="90" t="str">
        <f t="shared" si="0"/>
        <v>budynek gospodarczy</v>
      </c>
      <c r="G3" s="90" t="s">
        <v>10</v>
      </c>
      <c r="H3" s="93">
        <f>4*2*12</f>
        <v>96</v>
      </c>
      <c r="I3" s="94">
        <f>0.017*H3</f>
        <v>1.6320000000000001</v>
      </c>
      <c r="J3" s="95" t="s">
        <v>26</v>
      </c>
      <c r="K3" s="178" t="s">
        <v>72</v>
      </c>
      <c r="L3" s="185"/>
      <c r="M3" s="190"/>
      <c r="N3" s="182"/>
      <c r="O3" s="182"/>
      <c r="P3" s="182"/>
    </row>
    <row r="4" spans="1:16" s="57" customFormat="1" ht="11.25">
      <c r="A4" s="90">
        <f aca="true" t="shared" si="1" ref="A4:A15">A3+1</f>
        <v>3</v>
      </c>
      <c r="B4" s="90" t="s">
        <v>35</v>
      </c>
      <c r="C4" s="91" t="s">
        <v>35</v>
      </c>
      <c r="D4" s="92" t="s">
        <v>168</v>
      </c>
      <c r="E4" s="90">
        <v>2</v>
      </c>
      <c r="F4" s="90" t="str">
        <f t="shared" si="0"/>
        <v>budynek gospodarczy</v>
      </c>
      <c r="G4" s="90" t="s">
        <v>10</v>
      </c>
      <c r="H4" s="93">
        <v>200</v>
      </c>
      <c r="I4" s="94">
        <f aca="true" t="shared" si="2" ref="I4:I15">0.017*H4</f>
        <v>3.4000000000000004</v>
      </c>
      <c r="J4" s="95" t="s">
        <v>26</v>
      </c>
      <c r="K4" s="178" t="s">
        <v>72</v>
      </c>
      <c r="L4" s="185"/>
      <c r="M4" s="190"/>
      <c r="N4" s="182"/>
      <c r="O4" s="182"/>
      <c r="P4" s="182"/>
    </row>
    <row r="5" spans="1:16" s="57" customFormat="1" ht="11.25">
      <c r="A5" s="90">
        <v>4</v>
      </c>
      <c r="B5" s="90" t="s">
        <v>35</v>
      </c>
      <c r="C5" s="91" t="s">
        <v>35</v>
      </c>
      <c r="D5" s="92" t="s">
        <v>169</v>
      </c>
      <c r="E5" s="90">
        <v>2</v>
      </c>
      <c r="F5" s="90" t="str">
        <f t="shared" si="0"/>
        <v>budynek gospodarczy</v>
      </c>
      <c r="G5" s="90" t="s">
        <v>10</v>
      </c>
      <c r="H5" s="93">
        <f>5*2*12</f>
        <v>120</v>
      </c>
      <c r="I5" s="94">
        <f t="shared" si="2"/>
        <v>2.04</v>
      </c>
      <c r="J5" s="95" t="s">
        <v>26</v>
      </c>
      <c r="K5" s="178" t="s">
        <v>72</v>
      </c>
      <c r="L5" s="185"/>
      <c r="M5" s="190"/>
      <c r="N5" s="182"/>
      <c r="O5" s="182"/>
      <c r="P5" s="182"/>
    </row>
    <row r="6" spans="1:16" s="57" customFormat="1" ht="11.25">
      <c r="A6" s="90">
        <f t="shared" si="1"/>
        <v>5</v>
      </c>
      <c r="B6" s="90" t="s">
        <v>35</v>
      </c>
      <c r="C6" s="91" t="s">
        <v>35</v>
      </c>
      <c r="D6" s="92" t="s">
        <v>169</v>
      </c>
      <c r="E6" s="90">
        <v>2</v>
      </c>
      <c r="F6" s="90" t="str">
        <f t="shared" si="0"/>
        <v>budynek gospodarczy</v>
      </c>
      <c r="G6" s="90" t="s">
        <v>10</v>
      </c>
      <c r="H6" s="93">
        <f>7*2*10</f>
        <v>140</v>
      </c>
      <c r="I6" s="94">
        <f t="shared" si="2"/>
        <v>2.3800000000000003</v>
      </c>
      <c r="J6" s="95" t="s">
        <v>26</v>
      </c>
      <c r="K6" s="178" t="s">
        <v>72</v>
      </c>
      <c r="L6" s="185"/>
      <c r="M6" s="190"/>
      <c r="N6" s="182"/>
      <c r="O6" s="182"/>
      <c r="P6" s="182"/>
    </row>
    <row r="7" spans="1:16" s="57" customFormat="1" ht="11.25">
      <c r="A7" s="90">
        <f t="shared" si="1"/>
        <v>6</v>
      </c>
      <c r="B7" s="90" t="s">
        <v>35</v>
      </c>
      <c r="C7" s="91" t="s">
        <v>35</v>
      </c>
      <c r="D7" s="92" t="s">
        <v>169</v>
      </c>
      <c r="E7" s="90">
        <v>2</v>
      </c>
      <c r="F7" s="90" t="str">
        <f t="shared" si="0"/>
        <v>budynek gospodarczy</v>
      </c>
      <c r="G7" s="90" t="s">
        <v>10</v>
      </c>
      <c r="H7" s="93">
        <f>(3+5)*10</f>
        <v>80</v>
      </c>
      <c r="I7" s="94">
        <f t="shared" si="2"/>
        <v>1.36</v>
      </c>
      <c r="J7" s="95" t="s">
        <v>26</v>
      </c>
      <c r="K7" s="178" t="s">
        <v>72</v>
      </c>
      <c r="L7" s="185"/>
      <c r="M7" s="190"/>
      <c r="N7" s="182"/>
      <c r="O7" s="182"/>
      <c r="P7" s="182"/>
    </row>
    <row r="8" spans="1:16" s="69" customFormat="1" ht="11.25">
      <c r="A8" s="90">
        <v>7</v>
      </c>
      <c r="B8" s="90" t="s">
        <v>35</v>
      </c>
      <c r="C8" s="91" t="s">
        <v>35</v>
      </c>
      <c r="D8" s="92" t="s">
        <v>170</v>
      </c>
      <c r="E8" s="90">
        <v>2</v>
      </c>
      <c r="F8" s="90" t="str">
        <f t="shared" si="0"/>
        <v>budynek gospodarczy</v>
      </c>
      <c r="G8" s="90" t="s">
        <v>10</v>
      </c>
      <c r="H8" s="93">
        <f>2*4*20</f>
        <v>160</v>
      </c>
      <c r="I8" s="94">
        <f t="shared" si="2"/>
        <v>2.72</v>
      </c>
      <c r="J8" s="95" t="s">
        <v>26</v>
      </c>
      <c r="K8" s="178" t="s">
        <v>72</v>
      </c>
      <c r="L8" s="185"/>
      <c r="M8" s="190"/>
      <c r="N8" s="182"/>
      <c r="O8" s="182"/>
      <c r="P8" s="182"/>
    </row>
    <row r="9" spans="1:16" s="69" customFormat="1" ht="11.25">
      <c r="A9" s="90">
        <f t="shared" si="1"/>
        <v>8</v>
      </c>
      <c r="B9" s="90" t="s">
        <v>35</v>
      </c>
      <c r="C9" s="91" t="s">
        <v>35</v>
      </c>
      <c r="D9" s="92" t="s">
        <v>170</v>
      </c>
      <c r="E9" s="90">
        <v>2</v>
      </c>
      <c r="F9" s="90" t="str">
        <f t="shared" si="0"/>
        <v>budynek gospodarczy</v>
      </c>
      <c r="G9" s="90" t="s">
        <v>10</v>
      </c>
      <c r="H9" s="93">
        <f>3*6</f>
        <v>18</v>
      </c>
      <c r="I9" s="94">
        <f t="shared" si="2"/>
        <v>0.30600000000000005</v>
      </c>
      <c r="J9" s="95" t="s">
        <v>23</v>
      </c>
      <c r="K9" s="178" t="s">
        <v>70</v>
      </c>
      <c r="L9" s="185"/>
      <c r="M9" s="190"/>
      <c r="N9" s="182"/>
      <c r="O9" s="182"/>
      <c r="P9" s="182"/>
    </row>
    <row r="10" spans="1:16" s="57" customFormat="1" ht="11.25">
      <c r="A10" s="90">
        <f t="shared" si="1"/>
        <v>9</v>
      </c>
      <c r="B10" s="90" t="s">
        <v>35</v>
      </c>
      <c r="C10" s="91" t="s">
        <v>35</v>
      </c>
      <c r="D10" s="92" t="s">
        <v>116</v>
      </c>
      <c r="E10" s="90">
        <v>3</v>
      </c>
      <c r="F10" s="158" t="s">
        <v>18</v>
      </c>
      <c r="G10" s="90" t="s">
        <v>10</v>
      </c>
      <c r="H10" s="93">
        <v>70</v>
      </c>
      <c r="I10" s="94">
        <f t="shared" si="2"/>
        <v>1.1900000000000002</v>
      </c>
      <c r="J10" s="95" t="s">
        <v>23</v>
      </c>
      <c r="K10" s="179" t="s">
        <v>203</v>
      </c>
      <c r="L10" s="235"/>
      <c r="M10" s="190"/>
      <c r="N10" s="182"/>
      <c r="O10" s="182"/>
      <c r="P10" s="182"/>
    </row>
    <row r="11" spans="1:16" s="57" customFormat="1" ht="11.25">
      <c r="A11" s="90">
        <f t="shared" si="1"/>
        <v>10</v>
      </c>
      <c r="B11" s="90" t="s">
        <v>35</v>
      </c>
      <c r="C11" s="91" t="s">
        <v>35</v>
      </c>
      <c r="D11" s="92" t="s">
        <v>171</v>
      </c>
      <c r="E11" s="90">
        <v>2</v>
      </c>
      <c r="F11" s="90" t="str">
        <f t="shared" si="0"/>
        <v>budynek gospodarczy</v>
      </c>
      <c r="G11" s="90" t="s">
        <v>10</v>
      </c>
      <c r="H11" s="93">
        <f>4.5*2*20</f>
        <v>180</v>
      </c>
      <c r="I11" s="94">
        <f t="shared" si="2"/>
        <v>3.06</v>
      </c>
      <c r="J11" s="95" t="s">
        <v>26</v>
      </c>
      <c r="K11" s="178" t="s">
        <v>72</v>
      </c>
      <c r="L11" s="185"/>
      <c r="M11" s="190"/>
      <c r="N11" s="182"/>
      <c r="O11" s="182"/>
      <c r="P11" s="182"/>
    </row>
    <row r="12" spans="1:16" s="57" customFormat="1" ht="11.25">
      <c r="A12" s="90">
        <f t="shared" si="1"/>
        <v>11</v>
      </c>
      <c r="B12" s="90" t="s">
        <v>35</v>
      </c>
      <c r="C12" s="91" t="s">
        <v>35</v>
      </c>
      <c r="D12" s="92" t="s">
        <v>171</v>
      </c>
      <c r="E12" s="90">
        <v>2</v>
      </c>
      <c r="F12" s="90" t="str">
        <f t="shared" si="0"/>
        <v>budynek gospodarczy</v>
      </c>
      <c r="G12" s="90" t="s">
        <v>10</v>
      </c>
      <c r="H12" s="93">
        <f>3*2*8</f>
        <v>48</v>
      </c>
      <c r="I12" s="94">
        <f t="shared" si="2"/>
        <v>0.8160000000000001</v>
      </c>
      <c r="J12" s="95" t="s">
        <v>23</v>
      </c>
      <c r="K12" s="178" t="s">
        <v>70</v>
      </c>
      <c r="L12" s="185"/>
      <c r="M12" s="190"/>
      <c r="N12" s="182"/>
      <c r="O12" s="182"/>
      <c r="P12" s="182"/>
    </row>
    <row r="13" spans="1:16" s="57" customFormat="1" ht="11.25">
      <c r="A13" s="90">
        <f t="shared" si="1"/>
        <v>12</v>
      </c>
      <c r="B13" s="90" t="s">
        <v>35</v>
      </c>
      <c r="C13" s="91" t="s">
        <v>35</v>
      </c>
      <c r="D13" s="92" t="s">
        <v>171</v>
      </c>
      <c r="E13" s="90">
        <v>2</v>
      </c>
      <c r="F13" s="90" t="str">
        <f t="shared" si="0"/>
        <v>budynek gospodarczy</v>
      </c>
      <c r="G13" s="90" t="s">
        <v>10</v>
      </c>
      <c r="H13" s="93">
        <f>4*8</f>
        <v>32</v>
      </c>
      <c r="I13" s="94">
        <f t="shared" si="2"/>
        <v>0.544</v>
      </c>
      <c r="J13" s="95" t="s">
        <v>23</v>
      </c>
      <c r="K13" s="178" t="s">
        <v>70</v>
      </c>
      <c r="L13" s="185"/>
      <c r="M13" s="190"/>
      <c r="N13" s="182"/>
      <c r="O13" s="182"/>
      <c r="P13" s="182"/>
    </row>
    <row r="14" spans="1:16" s="57" customFormat="1" ht="11.25">
      <c r="A14" s="90">
        <f t="shared" si="1"/>
        <v>13</v>
      </c>
      <c r="B14" s="90" t="s">
        <v>35</v>
      </c>
      <c r="C14" s="91" t="s">
        <v>35</v>
      </c>
      <c r="D14" s="92" t="s">
        <v>172</v>
      </c>
      <c r="E14" s="90">
        <v>2</v>
      </c>
      <c r="F14" s="90" t="str">
        <f t="shared" si="0"/>
        <v>budynek gospodarczy</v>
      </c>
      <c r="G14" s="90" t="s">
        <v>10</v>
      </c>
      <c r="H14" s="93">
        <f>5*8</f>
        <v>40</v>
      </c>
      <c r="I14" s="94">
        <f t="shared" si="2"/>
        <v>0.68</v>
      </c>
      <c r="J14" s="95" t="s">
        <v>23</v>
      </c>
      <c r="K14" s="178" t="s">
        <v>70</v>
      </c>
      <c r="L14" s="185"/>
      <c r="M14" s="190"/>
      <c r="N14" s="182"/>
      <c r="O14" s="182"/>
      <c r="P14" s="182"/>
    </row>
    <row r="15" spans="1:16" s="57" customFormat="1" ht="11.25">
      <c r="A15" s="90">
        <f t="shared" si="1"/>
        <v>14</v>
      </c>
      <c r="B15" s="90" t="s">
        <v>35</v>
      </c>
      <c r="C15" s="91" t="s">
        <v>35</v>
      </c>
      <c r="D15" s="92" t="s">
        <v>173</v>
      </c>
      <c r="E15" s="90">
        <v>2</v>
      </c>
      <c r="F15" s="90" t="str">
        <f t="shared" si="0"/>
        <v>budynek gospodarczy</v>
      </c>
      <c r="G15" s="90" t="s">
        <v>10</v>
      </c>
      <c r="H15" s="93">
        <f>3*2*20</f>
        <v>120</v>
      </c>
      <c r="I15" s="94">
        <f t="shared" si="2"/>
        <v>2.04</v>
      </c>
      <c r="J15" s="95" t="s">
        <v>26</v>
      </c>
      <c r="K15" s="178" t="s">
        <v>72</v>
      </c>
      <c r="L15" s="185"/>
      <c r="M15" s="190"/>
      <c r="N15" s="182"/>
      <c r="O15" s="182"/>
      <c r="P15" s="182"/>
    </row>
    <row r="16" spans="5:12" ht="11.25">
      <c r="E16" s="2">
        <v>0</v>
      </c>
      <c r="I16" s="55"/>
      <c r="J16" s="5"/>
      <c r="K16" s="5"/>
      <c r="L16" s="5"/>
    </row>
    <row r="17" spans="7:12" ht="11.25">
      <c r="G17" s="2" t="s">
        <v>11</v>
      </c>
      <c r="H17" s="12">
        <f>SUM(H2:H15)</f>
        <v>1368</v>
      </c>
      <c r="I17" s="56">
        <f>SUM(I2:I15)</f>
        <v>23.256</v>
      </c>
      <c r="J17" s="6"/>
      <c r="K17" s="6"/>
      <c r="L17" s="6"/>
    </row>
    <row r="18" spans="10:15" ht="11.25">
      <c r="J18" s="259" t="s">
        <v>14</v>
      </c>
      <c r="K18" s="260"/>
      <c r="L18" s="260"/>
      <c r="M18" s="260"/>
      <c r="N18" s="260"/>
      <c r="O18" s="260"/>
    </row>
    <row r="19" spans="6:15" ht="11.25">
      <c r="F19" s="7" t="s">
        <v>12</v>
      </c>
      <c r="G19" s="7" t="s">
        <v>13</v>
      </c>
      <c r="H19" s="7" t="s">
        <v>14</v>
      </c>
      <c r="I19" s="7" t="s">
        <v>15</v>
      </c>
      <c r="J19" s="215" t="s">
        <v>199</v>
      </c>
      <c r="K19" s="215" t="s">
        <v>200</v>
      </c>
      <c r="L19" s="157">
        <v>2015</v>
      </c>
      <c r="M19" s="157">
        <v>2017</v>
      </c>
      <c r="N19" s="157">
        <v>2022</v>
      </c>
      <c r="O19" s="157">
        <v>2032</v>
      </c>
    </row>
    <row r="20" spans="6:15" ht="11.25">
      <c r="F20" s="37" t="s">
        <v>221</v>
      </c>
      <c r="G20" s="9"/>
      <c r="H20" s="11">
        <f>SUMIF(F$2:F15,F20,H$2:H15)</f>
        <v>0</v>
      </c>
      <c r="I20" s="11">
        <f>SUMIF(F$2:F15,F20,I$2:I15)</f>
        <v>0</v>
      </c>
      <c r="J20" s="216"/>
      <c r="K20" s="216"/>
      <c r="L20" s="11">
        <f>_xlfn.SUMIFS(H$2:H$15,K$2:K$15,L$19,F$2:F$15,F20)</f>
        <v>0</v>
      </c>
      <c r="M20" s="11">
        <f>_xlfn.SUMIFS(H$2:H$15,K$2:K$15,M$19,F$2:F$15,F20)</f>
        <v>0</v>
      </c>
      <c r="N20" s="11">
        <f>_xlfn.SUMIFS(H$2:H$15,K$2:K$15,N$19,F$2:F$15,F20)</f>
        <v>0</v>
      </c>
      <c r="O20" s="11">
        <f>_xlfn.SUMIFS(H$2:H$15,K$2:K$15,O$19,F$2:F$15,F20)</f>
        <v>0</v>
      </c>
    </row>
    <row r="21" spans="6:15" ht="11.25">
      <c r="F21" s="37" t="s">
        <v>192</v>
      </c>
      <c r="G21" s="9">
        <v>13</v>
      </c>
      <c r="H21" s="11">
        <f>SUMIF(F$2:F15,F21,H$2:H15)</f>
        <v>1298</v>
      </c>
      <c r="I21" s="11">
        <f>SUMIF(F$2:F15,F21,I$2:I15)</f>
        <v>22.066</v>
      </c>
      <c r="J21" s="242"/>
      <c r="K21" s="216"/>
      <c r="L21" s="11">
        <f>_xlfn.SUMIFS(H$2:H$15,K$2:K$15,L$19,F$2:F$15,F21)</f>
        <v>0</v>
      </c>
      <c r="M21" s="11">
        <f>_xlfn.SUMIFS(H$2:H$15,K$2:K$15,M$19,F$2:F$15,F21)</f>
        <v>138</v>
      </c>
      <c r="N21" s="11">
        <f>_xlfn.SUMIFS(H$2:H$15,K$2:K$15,N$19,F$2:F$15,F21)</f>
        <v>0</v>
      </c>
      <c r="O21" s="11">
        <f>_xlfn.SUMIFS(H$2:H$15,K$2:K$15,O$19,F$2:F$15,F21)</f>
        <v>1160</v>
      </c>
    </row>
    <row r="22" spans="6:15" ht="11.25">
      <c r="F22" s="9" t="s">
        <v>18</v>
      </c>
      <c r="G22" s="9">
        <v>1</v>
      </c>
      <c r="H22" s="11">
        <f>SUMIF(F$2:F15,F22,H$2:H15)</f>
        <v>70</v>
      </c>
      <c r="I22" s="11">
        <f>SUMIF(F$2:F15,F22,I$2:I15)</f>
        <v>1.1900000000000002</v>
      </c>
      <c r="J22" s="216">
        <v>1207.059</v>
      </c>
      <c r="K22" s="216">
        <v>228.8</v>
      </c>
      <c r="L22" s="11">
        <f>_xlfn.SUMIFS(H$2:H$15,K$2:K$15,L$19,F$2:F$15,F22)</f>
        <v>70</v>
      </c>
      <c r="M22" s="11">
        <f>_xlfn.SUMIFS(H$2:H$15,K$2:K$15,M$19,F$2:F$15,F22)</f>
        <v>0</v>
      </c>
      <c r="N22" s="11">
        <f>_xlfn.SUMIFS(H$2:H$15,K$2:K$15,N$19,F$2:F$15,F22)</f>
        <v>0</v>
      </c>
      <c r="O22" s="11">
        <f>_xlfn.SUMIFS(H$2:H$15,K$2:K$15,O$19,F$2:F$15,F22)</f>
        <v>0</v>
      </c>
    </row>
    <row r="23" spans="6:15" ht="11.25">
      <c r="F23" s="9" t="s">
        <v>10</v>
      </c>
      <c r="G23" s="9"/>
      <c r="H23" s="11">
        <f>SUMIF(G$2:G15,F23,H$2:H15)</f>
        <v>1368</v>
      </c>
      <c r="I23" s="11">
        <f>SUMIF(G$2:G15,F23,I$2:I15)</f>
        <v>23.256</v>
      </c>
      <c r="J23" s="216">
        <v>1207.059</v>
      </c>
      <c r="K23" s="216">
        <v>228.8</v>
      </c>
      <c r="L23" s="11">
        <f>_xlfn.SUMIFS(H2:H15,K2:K15,L19,G2:G15,F23)</f>
        <v>70</v>
      </c>
      <c r="M23" s="11">
        <f>_xlfn.SUMIFS(H2:H15,K2:K15,M19,G2:G15,F23)</f>
        <v>138</v>
      </c>
      <c r="N23" s="11">
        <f>_xlfn.SUMIFS(H2:H15,K2:K15,N19,G2:G15,F23)</f>
        <v>0</v>
      </c>
      <c r="O23" s="11">
        <f>_xlfn.SUMIFS(H2:H15,K2:K15,O19,G2:G15,F23)</f>
        <v>1160</v>
      </c>
    </row>
    <row r="24" spans="6:15" ht="11.25">
      <c r="F24" s="9" t="s">
        <v>19</v>
      </c>
      <c r="G24" s="9"/>
      <c r="H24" s="11">
        <f>SUMIF(G$2:G15,F24,H$2:H15)</f>
        <v>0</v>
      </c>
      <c r="I24" s="11">
        <f>SUMIF(G$2:G15,F24,I$2:I15)</f>
        <v>0</v>
      </c>
      <c r="J24" s="216"/>
      <c r="K24" s="216"/>
      <c r="L24" s="11"/>
      <c r="M24" s="11"/>
      <c r="N24" s="68"/>
      <c r="O24" s="11"/>
    </row>
    <row r="25" spans="6:15" ht="11.25">
      <c r="F25" s="9" t="s">
        <v>20</v>
      </c>
      <c r="G25" s="9"/>
      <c r="H25" s="11"/>
      <c r="I25" s="11"/>
      <c r="J25" s="216"/>
      <c r="K25" s="216"/>
      <c r="L25" s="11"/>
      <c r="M25" s="11"/>
      <c r="N25" s="68"/>
      <c r="O25" s="11"/>
    </row>
    <row r="26" spans="6:15" ht="11.25">
      <c r="F26" s="9" t="s">
        <v>21</v>
      </c>
      <c r="G26" s="9"/>
      <c r="H26" s="11"/>
      <c r="I26" s="11"/>
      <c r="J26" s="216"/>
      <c r="K26" s="216"/>
      <c r="L26" s="11"/>
      <c r="M26" s="11"/>
      <c r="N26" s="68"/>
      <c r="O26" s="11"/>
    </row>
  </sheetData>
  <sheetProtection/>
  <mergeCells count="1">
    <mergeCell ref="J18:O18"/>
  </mergeCells>
  <printOptions/>
  <pageMargins left="0.31" right="0.27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2" sqref="E22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2" width="9.140625" style="2" customWidth="1" outlineLevel="1"/>
    <col min="13" max="13" width="9.8515625" style="14" customWidth="1"/>
    <col min="14" max="14" width="9.8515625" style="2" customWidth="1"/>
    <col min="15" max="15" width="10.28125" style="2" customWidth="1"/>
    <col min="16" max="16" width="10.140625" style="2" customWidth="1"/>
    <col min="17" max="16384" width="9.140625" style="2" customWidth="1"/>
  </cols>
  <sheetData>
    <row r="1" spans="1:16" s="1" customFormat="1" ht="45">
      <c r="A1" s="71" t="s">
        <v>0</v>
      </c>
      <c r="B1" s="71" t="s">
        <v>1</v>
      </c>
      <c r="C1" s="71" t="s">
        <v>2</v>
      </c>
      <c r="D1" s="72" t="s">
        <v>3</v>
      </c>
      <c r="E1" s="71"/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169" t="s">
        <v>9</v>
      </c>
      <c r="L1" s="236"/>
      <c r="M1" s="175"/>
      <c r="N1" s="164"/>
      <c r="O1" s="164"/>
      <c r="P1" s="164"/>
    </row>
    <row r="2" spans="1:16" s="57" customFormat="1" ht="11.25">
      <c r="A2" s="74">
        <v>1</v>
      </c>
      <c r="B2" s="74" t="s">
        <v>174</v>
      </c>
      <c r="C2" s="75" t="s">
        <v>35</v>
      </c>
      <c r="D2" s="76" t="s">
        <v>175</v>
      </c>
      <c r="E2" s="74">
        <v>2</v>
      </c>
      <c r="F2" s="74" t="str">
        <f>IF(E2=2,"budynek gospodarczy","budynek mieszkalny")</f>
        <v>budynek gospodarczy</v>
      </c>
      <c r="G2" s="74" t="s">
        <v>10</v>
      </c>
      <c r="H2" s="77">
        <f>6*2*15.5</f>
        <v>186</v>
      </c>
      <c r="I2" s="78">
        <f>0.017*H2</f>
        <v>3.1620000000000004</v>
      </c>
      <c r="J2" s="79" t="s">
        <v>24</v>
      </c>
      <c r="K2" s="170" t="s">
        <v>71</v>
      </c>
      <c r="L2" s="165"/>
      <c r="M2" s="196"/>
      <c r="N2" s="167"/>
      <c r="O2" s="167"/>
      <c r="P2" s="167"/>
    </row>
    <row r="3" spans="10:12" ht="11.25">
      <c r="J3" s="5"/>
      <c r="K3" s="5"/>
      <c r="L3" s="5"/>
    </row>
    <row r="4" spans="7:12" ht="11.25">
      <c r="G4" s="2" t="s">
        <v>11</v>
      </c>
      <c r="H4" s="12">
        <f>SUM(H2:H2)</f>
        <v>186</v>
      </c>
      <c r="I4" s="56">
        <f>SUM(I2:I2)</f>
        <v>3.1620000000000004</v>
      </c>
      <c r="J4" s="6"/>
      <c r="K4" s="6"/>
      <c r="L4" s="6"/>
    </row>
    <row r="5" spans="10:15" ht="11.25">
      <c r="J5" s="259" t="s">
        <v>14</v>
      </c>
      <c r="K5" s="260"/>
      <c r="L5" s="260"/>
      <c r="M5" s="260"/>
      <c r="N5" s="260"/>
      <c r="O5" s="260"/>
    </row>
    <row r="6" spans="6:15" ht="11.25">
      <c r="F6" s="7" t="s">
        <v>12</v>
      </c>
      <c r="G6" s="7" t="s">
        <v>13</v>
      </c>
      <c r="H6" s="243" t="s">
        <v>14</v>
      </c>
      <c r="I6" s="243" t="s">
        <v>15</v>
      </c>
      <c r="J6" s="244" t="s">
        <v>199</v>
      </c>
      <c r="K6" s="244" t="s">
        <v>220</v>
      </c>
      <c r="L6" s="245">
        <v>2015</v>
      </c>
      <c r="M6" s="245">
        <v>2017</v>
      </c>
      <c r="N6" s="245">
        <v>2022</v>
      </c>
      <c r="O6" s="245">
        <v>2032</v>
      </c>
    </row>
    <row r="7" spans="6:15" ht="11.25">
      <c r="F7" s="37" t="s">
        <v>221</v>
      </c>
      <c r="G7" s="9"/>
      <c r="H7" s="11">
        <f>SUMIF(F$2:F2,F7,H$2:H2)</f>
        <v>0</v>
      </c>
      <c r="I7" s="11">
        <f>SUMIF(F$2:F2,F7,I$2:I2)</f>
        <v>0</v>
      </c>
      <c r="J7" s="216"/>
      <c r="K7" s="216"/>
      <c r="L7" s="11">
        <f>_xlfn.SUMIFS(H$2,K$2,L$6,F$2,F7)</f>
        <v>0</v>
      </c>
      <c r="M7" s="11">
        <f>_xlfn.SUMIFS(H$2,K$2,M$6,F$2,F7)</f>
        <v>0</v>
      </c>
      <c r="N7" s="11">
        <f>_xlfn.SUMIFS(H$2,K$2,N$6,F$2,F7)</f>
        <v>0</v>
      </c>
      <c r="O7" s="11">
        <f>_xlfn.SUMIFS(H$2,K$2,O$6,F$2,F7)</f>
        <v>0</v>
      </c>
    </row>
    <row r="8" spans="6:15" ht="11.25">
      <c r="F8" s="37" t="s">
        <v>192</v>
      </c>
      <c r="G8" s="9">
        <v>1</v>
      </c>
      <c r="H8" s="11">
        <f>SUMIF(F$2:F2,F8,H$2:H2)</f>
        <v>186</v>
      </c>
      <c r="I8" s="11">
        <f>SUMIF(F$2:F2,F8,I$2:I2)</f>
        <v>3.1620000000000004</v>
      </c>
      <c r="J8" s="242"/>
      <c r="K8" s="216"/>
      <c r="L8" s="11">
        <f>_xlfn.SUMIFS(H$2,K$2,L$6,F$2,F8)</f>
        <v>0</v>
      </c>
      <c r="M8" s="11">
        <f>_xlfn.SUMIFS(H$2,K$2,M$6,F$2,F8)</f>
        <v>0</v>
      </c>
      <c r="N8" s="11">
        <f>_xlfn.SUMIFS(H$2,K$2,N$6,F$2,F8)</f>
        <v>186</v>
      </c>
      <c r="O8" s="11">
        <f>_xlfn.SUMIFS(H$2,K$2,O$6,F$2,F8)</f>
        <v>0</v>
      </c>
    </row>
    <row r="9" spans="6:15" ht="11.25">
      <c r="F9" s="9" t="s">
        <v>18</v>
      </c>
      <c r="G9" s="9"/>
      <c r="H9" s="11">
        <f>SUMIF(F$2:F2,F9,H$2:H2)</f>
        <v>0</v>
      </c>
      <c r="I9" s="11">
        <f>SUMIF(F$2:F2,F9,I$2:I2)</f>
        <v>0</v>
      </c>
      <c r="J9" s="216"/>
      <c r="K9" s="216"/>
      <c r="L9" s="11">
        <f>_xlfn.SUMIFS(H$2,K$2,L$6,F$2,F9)</f>
        <v>0</v>
      </c>
      <c r="M9" s="11">
        <f>_xlfn.SUMIFS(H$2,K$2,M$6,F$2,F9)</f>
        <v>0</v>
      </c>
      <c r="N9" s="11">
        <f>_xlfn.SUMIFS(H$2,K$2,N$6,F$2,F9)</f>
        <v>0</v>
      </c>
      <c r="O9" s="11">
        <f>_xlfn.SUMIFS(H$2,K$2,O$6,F$2,F9)</f>
        <v>0</v>
      </c>
    </row>
    <row r="10" spans="6:15" ht="11.25">
      <c r="F10" s="9" t="s">
        <v>10</v>
      </c>
      <c r="G10" s="9"/>
      <c r="H10" s="11">
        <f>SUMIF(G$2:G2,F10,H$2:H2)</f>
        <v>186</v>
      </c>
      <c r="I10" s="11">
        <f>SUMIF(G$2:G2,F10,I$2:I2)</f>
        <v>3.1620000000000004</v>
      </c>
      <c r="J10" s="216">
        <v>0</v>
      </c>
      <c r="K10" s="216"/>
      <c r="L10" s="11">
        <f>_xlfn.SUMIFS(H2,K2,L6,G2,F10)</f>
        <v>0</v>
      </c>
      <c r="M10" s="11">
        <f>_xlfn.SUMIFS(H2,K2,M6,G2,F10)</f>
        <v>0</v>
      </c>
      <c r="N10" s="11">
        <f>_xlfn.SUMIFS(H2,K2,N6,G2,F10)</f>
        <v>186</v>
      </c>
      <c r="O10" s="11">
        <f>_xlfn.SUMIFS(H2,K2,O6,G2,F10)</f>
        <v>0</v>
      </c>
    </row>
    <row r="11" spans="6:15" ht="11.25">
      <c r="F11" s="9" t="s">
        <v>19</v>
      </c>
      <c r="G11" s="9"/>
      <c r="H11" s="11">
        <f>SUMIF(G$2:G2,F11,H$2:H2)</f>
        <v>0</v>
      </c>
      <c r="I11" s="11">
        <f>SUMIF(G$2:G2,F11,I$2:I2)</f>
        <v>0</v>
      </c>
      <c r="J11" s="216"/>
      <c r="K11" s="216"/>
      <c r="L11" s="11"/>
      <c r="M11" s="11"/>
      <c r="N11" s="68"/>
      <c r="O11" s="11"/>
    </row>
    <row r="12" spans="6:15" ht="11.25">
      <c r="F12" s="9" t="s">
        <v>20</v>
      </c>
      <c r="G12" s="9"/>
      <c r="H12" s="11"/>
      <c r="I12" s="11"/>
      <c r="J12" s="216"/>
      <c r="K12" s="216"/>
      <c r="L12" s="11"/>
      <c r="M12" s="11"/>
      <c r="N12" s="68"/>
      <c r="O12" s="11"/>
    </row>
    <row r="13" spans="6:15" ht="11.25">
      <c r="F13" s="9" t="s">
        <v>21</v>
      </c>
      <c r="G13" s="9"/>
      <c r="H13" s="11"/>
      <c r="I13" s="11"/>
      <c r="J13" s="216"/>
      <c r="K13" s="216"/>
      <c r="L13" s="11"/>
      <c r="M13" s="11"/>
      <c r="N13" s="68"/>
      <c r="O13" s="11"/>
    </row>
  </sheetData>
  <sheetProtection/>
  <autoFilter ref="A1:P2"/>
  <mergeCells count="1">
    <mergeCell ref="J5:O5"/>
  </mergeCells>
  <printOptions/>
  <pageMargins left="0.31" right="0.2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kpikulik</cp:lastModifiedBy>
  <cp:lastPrinted>2015-03-30T06:53:04Z</cp:lastPrinted>
  <dcterms:created xsi:type="dcterms:W3CDTF">2011-05-06T06:55:31Z</dcterms:created>
  <dcterms:modified xsi:type="dcterms:W3CDTF">2015-04-03T12:36:53Z</dcterms:modified>
  <cp:category/>
  <cp:version/>
  <cp:contentType/>
  <cp:contentStatus/>
</cp:coreProperties>
</file>