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1_WPF_bazowy " sheetId="1" r:id="rId1"/>
    <sheet name="Zał. 3-Przedsięwzięcia" sheetId="2" r:id="rId2"/>
    <sheet name="Arkusz1" sheetId="3" r:id="rId3"/>
    <sheet name="Arkusz2" sheetId="4" r:id="rId4"/>
    <sheet name="Arkusz3" sheetId="5" r:id="rId5"/>
  </sheets>
  <externalReferences>
    <externalReference r:id="rId8"/>
  </externalReferences>
  <definedNames>
    <definedName name="_xlnm._FilterDatabase" localSheetId="0" hidden="1">'Zał.1_WPF_bazowy '!$A$8:$A$109</definedName>
    <definedName name="_xlnm.Print_Area" localSheetId="1">'Zał. 3-Przedsięwzięcia'!$A$1:$P$50</definedName>
    <definedName name="_xlnm.Print_Area" localSheetId="0">'Zał.1_WPF_bazowy '!$B$2:$Q$114</definedName>
    <definedName name="_xlnm.Print_Titles" localSheetId="1">'Zał. 3-Przedsięwzięcia'!$5:$6</definedName>
    <definedName name="_xlnm.Print_Titles" localSheetId="0">'Zał.1_WPF_bazowy '!$B:$D,'Zał.1_WPF_bazowy '!$8:$8</definedName>
    <definedName name="Z_9360F695_77C0_4418_82C5_829A762C44E9_.wvu.Cols" localSheetId="0" hidden="1">'Zał.1_WPF_bazowy '!$A:$A,'Zał.1_WPF_bazowy '!$C:$C</definedName>
    <definedName name="Z_9360F695_77C0_4418_82C5_829A762C44E9_.wvu.FilterData" localSheetId="0" hidden="1">'Zał.1_WPF_bazowy '!$A$8:$A$109</definedName>
    <definedName name="Z_9360F695_77C0_4418_82C5_829A762C44E9_.wvu.PrintArea" localSheetId="0" hidden="1">'Zał.1_WPF_bazowy '!$B$8:$AL$109</definedName>
    <definedName name="Z_9360F695_77C0_4418_82C5_829A762C44E9_.wvu.PrintTitles" localSheetId="0" hidden="1">'Zał.1_WPF_bazowy '!$B:$D,'Zał.1_WPF_bazowy '!$8:$8</definedName>
  </definedNames>
  <calcPr fullCalcOnLoad="1"/>
</workbook>
</file>

<file path=xl/sharedStrings.xml><?xml version="1.0" encoding="utf-8"?>
<sst xmlns="http://schemas.openxmlformats.org/spreadsheetml/2006/main" count="1268" uniqueCount="482">
  <si>
    <t>Wykonanie podłączeń do sieci kanalizacyjnej budynków w miejscowościach: Bielkowo, Kunowo, Kobylanka, Morzyczyn i Reptowo</t>
  </si>
  <si>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</si>
  <si>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</si>
  <si>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</si>
  <si>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</si>
  <si>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</si>
  <si>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</si>
  <si>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</si>
  <si>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</si>
  <si>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</si>
  <si>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</si>
  <si>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</si>
  <si>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</si>
  <si>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</si>
  <si>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</si>
  <si>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</si>
  <si>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</si>
  <si>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</si>
  <si>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</si>
  <si>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</si>
  <si>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</si>
  <si>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</si>
  <si>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</si>
  <si>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</si>
  <si>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</si>
  <si>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</si>
  <si>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</si>
  <si>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</si>
  <si>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</si>
  <si>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</si>
  <si>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</si>
  <si>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</si>
  <si>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</si>
  <si>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</si>
  <si>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 xml:space="preserve"> - </t>
  </si>
  <si>
    <t>1.1.1.2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</si>
  <si>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</si>
  <si>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</si>
  <si>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1.1.2.1</t>
  </si>
  <si>
    <t>1.1.2.2</t>
  </si>
  <si>
    <t>1.1.2.5</t>
  </si>
  <si>
    <t>Modernizacja placów zabaw na terenie gminy Kobylanka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</si>
  <si>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</si>
  <si>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</si>
  <si>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</si>
  <si>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</si>
  <si>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</si>
  <si>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</si>
  <si>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1.3.2</t>
  </si>
  <si>
    <t>Modernizacja dróg gminnych</t>
  </si>
  <si>
    <t>Budowa drogi Zieleniewo - Miedwiecko</t>
  </si>
  <si>
    <t>1.3.2.1</t>
  </si>
  <si>
    <t>1.3.2.4</t>
  </si>
  <si>
    <t>1.3.2.5</t>
  </si>
  <si>
    <t>1.3.2.6</t>
  </si>
  <si>
    <t>1.3.2.7</t>
  </si>
  <si>
    <t>Budowa dwóch budynków komunalnych w Kobylance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</si>
  <si>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</si>
  <si>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1.3.2.9</t>
  </si>
  <si>
    <t>1.3.2.10</t>
  </si>
  <si>
    <t>Przebudowa budynku Urzędu Gminy w Kobylance</t>
  </si>
  <si>
    <t>1.3.2.11</t>
  </si>
  <si>
    <t>Dokończenie budowy sieci kanalizacji sanitarnej w miejscowości Kobylanka</t>
  </si>
  <si>
    <t>1.3.2.13</t>
  </si>
  <si>
    <t>Modernizacja świetlicy wiejskiej w miejscowości Reptowo</t>
  </si>
  <si>
    <r>
      <t xml:space="preserve">*) </t>
    </r>
    <r>
      <rPr>
        <b/>
        <sz val="9"/>
        <rFont val="Century Gothic"/>
        <family val="2"/>
      </rPr>
      <t>n</t>
    </r>
    <r>
      <rPr>
        <sz val="9"/>
        <rFont val="Century Gothic"/>
        <family val="2"/>
      </rPr>
      <t xml:space="preserve">-rok budżetowy; </t>
    </r>
    <r>
      <rPr>
        <b/>
        <sz val="9"/>
        <rFont val="Century Gothic"/>
        <family val="2"/>
      </rPr>
      <t>n+1</t>
    </r>
    <r>
      <rPr>
        <sz val="9"/>
        <rFont val="Century Gothic"/>
        <family val="2"/>
      </rPr>
      <t xml:space="preserve"> - rok następny po roku budżetowym; </t>
    </r>
    <r>
      <rPr>
        <b/>
        <sz val="9"/>
        <rFont val="Century Gothic"/>
        <family val="2"/>
      </rPr>
      <t xml:space="preserve">n+2 </t>
    </r>
    <r>
      <rPr>
        <sz val="9"/>
        <rFont val="Century Gothic"/>
        <family val="2"/>
      </rPr>
      <t>- dwa lata  po roku budżetowym;</t>
    </r>
    <r>
      <rPr>
        <b/>
        <sz val="9"/>
        <rFont val="Century Gothic"/>
        <family val="2"/>
      </rPr>
      <t xml:space="preserve"> n+…</t>
    </r>
    <r>
      <rPr>
        <sz val="9"/>
        <rFont val="Century Gothic"/>
        <family val="2"/>
      </rPr>
      <t xml:space="preserve"> - kolejny rok po roku budżetowym</t>
    </r>
  </si>
  <si>
    <t xml:space="preserve"> -</t>
  </si>
  <si>
    <t>Ochrona wód jeziora Miedwie poprzez budowę sieci kanalizacyjnych i przebudowę oczyszczalni ścieków na obszarze aglomeracji Stargard Szczeciński 1.3 Oś Bielkowo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</si>
  <si>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</si>
  <si>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</si>
  <si>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</si>
  <si>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</si>
  <si>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</si>
  <si>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</si>
  <si>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</si>
  <si>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</si>
  <si>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</si>
  <si>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</si>
  <si>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</si>
  <si>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</si>
  <si>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</si>
  <si>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</si>
  <si>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</si>
  <si>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</si>
  <si>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</si>
  <si>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</si>
  <si>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</si>
  <si>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</si>
  <si>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</si>
  <si>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</si>
  <si>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</si>
  <si>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</si>
  <si>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</si>
  <si>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</si>
  <si>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</si>
  <si>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</si>
  <si>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</si>
  <si>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</si>
  <si>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</si>
  <si>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</si>
  <si>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</si>
  <si>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</si>
  <si>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</si>
  <si>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</si>
  <si>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</si>
  <si>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</si>
  <si>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</si>
  <si>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</si>
  <si>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</si>
  <si>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</si>
  <si>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</si>
  <si>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</si>
  <si>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</si>
  <si>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</si>
  <si>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</si>
  <si>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</si>
  <si>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</si>
  <si>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</si>
  <si>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</si>
  <si>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</si>
  <si>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</si>
  <si>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</si>
  <si>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</si>
  <si>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</si>
  <si>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</si>
  <si>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</si>
  <si>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</si>
  <si>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</si>
  <si>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</si>
  <si>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</si>
  <si>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</si>
  <si>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</si>
  <si>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</si>
  <si>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</si>
  <si>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</si>
  <si>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</si>
  <si>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</si>
  <si>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</si>
  <si>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</si>
  <si>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</si>
  <si>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</si>
  <si>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</si>
  <si>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</si>
  <si>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</si>
  <si>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</si>
  <si>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</si>
  <si>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</si>
  <si>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</si>
  <si>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</si>
  <si>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</si>
  <si>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</si>
  <si>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</si>
  <si>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</si>
  <si>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</si>
  <si>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</si>
  <si>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</si>
  <si>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</si>
  <si>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</si>
  <si>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</si>
  <si>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</si>
  <si>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</si>
  <si>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</si>
  <si>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</si>
  <si>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</si>
  <si>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</si>
  <si>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</si>
  <si>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</si>
  <si>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</si>
  <si>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</si>
  <si>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</si>
  <si>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</si>
  <si>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</si>
  <si>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</si>
  <si>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</si>
  <si>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</si>
  <si>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</si>
  <si>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</si>
  <si>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</si>
  <si>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</si>
  <si>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</si>
  <si>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</si>
  <si>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</si>
  <si>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</si>
  <si>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</si>
  <si>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</si>
  <si>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</si>
  <si>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</si>
  <si>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</si>
  <si>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</si>
  <si>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</si>
  <si>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</si>
  <si>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</si>
  <si>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</si>
  <si>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</si>
  <si>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</si>
  <si>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</si>
  <si>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</si>
  <si>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</si>
  <si>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</si>
  <si>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</si>
  <si>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</si>
  <si>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</si>
  <si>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</si>
  <si>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</si>
  <si>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</si>
  <si>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</si>
  <si>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</si>
  <si>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</si>
  <si>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</si>
  <si>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</si>
  <si>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</si>
  <si>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</si>
  <si>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</si>
  <si>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</si>
  <si>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</si>
  <si>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</si>
  <si>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</si>
  <si>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</si>
  <si>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</si>
  <si>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</si>
  <si>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</si>
  <si>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</si>
  <si>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</si>
  <si>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</si>
  <si>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</si>
  <si>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</si>
  <si>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</si>
  <si>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</si>
  <si>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</si>
  <si>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</si>
  <si>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</si>
  <si>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</si>
  <si>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</si>
  <si>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</si>
  <si>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</si>
  <si>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</si>
  <si>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</si>
  <si>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</si>
  <si>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</si>
  <si>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</si>
  <si>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</si>
  <si>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</si>
  <si>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</si>
  <si>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</si>
  <si>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</si>
  <si>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</si>
  <si>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</si>
  <si>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</si>
  <si>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</si>
  <si>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</si>
  <si>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</si>
  <si>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</si>
  <si>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</si>
  <si>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</si>
  <si>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</si>
  <si>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</si>
  <si>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</si>
  <si>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</si>
  <si>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</si>
  <si>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</si>
  <si>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</si>
  <si>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</si>
  <si>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</si>
  <si>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</si>
  <si>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</si>
  <si>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</si>
  <si>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</si>
  <si>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</si>
  <si>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</si>
  <si>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</si>
  <si>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</si>
  <si>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</si>
  <si>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</si>
  <si>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</si>
  <si>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</si>
  <si>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</si>
  <si>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</si>
  <si>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</si>
  <si>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</si>
  <si>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</si>
  <si>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</si>
  <si>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</si>
  <si>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</si>
  <si>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</si>
  <si>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</si>
  <si>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</si>
  <si>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</si>
  <si>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</si>
  <si>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</si>
  <si>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</si>
  <si>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</si>
  <si>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</si>
  <si>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</si>
  <si>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</si>
  <si>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</si>
  <si>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</si>
  <si>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</si>
  <si>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</si>
  <si>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</si>
  <si>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</si>
  <si>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</si>
  <si>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</si>
  <si>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</si>
  <si>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</si>
  <si>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</si>
  <si>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</si>
  <si>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</si>
  <si>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</si>
  <si>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</si>
  <si>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</si>
  <si>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</si>
  <si>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</si>
  <si>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</si>
  <si>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</si>
  <si>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</si>
  <si>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</si>
  <si>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</si>
  <si>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</si>
  <si>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</si>
  <si>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</si>
  <si>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</si>
  <si>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</si>
  <si>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</si>
  <si>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</si>
  <si>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</si>
  <si>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</si>
  <si>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</si>
  <si>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</si>
  <si>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</si>
  <si>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</si>
  <si>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</si>
  <si>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</si>
  <si>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</si>
  <si>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</si>
  <si>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</si>
  <si>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</si>
  <si>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</si>
  <si>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</si>
  <si>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</si>
  <si>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</si>
  <si>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</si>
  <si>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</si>
  <si>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</si>
  <si>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UWAGA!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</si>
  <si>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</si>
  <si>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</si>
  <si>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</si>
  <si>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</si>
  <si>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</si>
  <si>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</si>
  <si>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</si>
  <si>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</si>
  <si>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</si>
  <si>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</si>
  <si>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</si>
  <si>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</si>
  <si>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</si>
  <si>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</si>
  <si>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</si>
  <si>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</si>
  <si>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</si>
  <si>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</si>
  <si>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</si>
  <si>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</si>
  <si>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</si>
  <si>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</si>
  <si>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</si>
  <si>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</si>
  <si>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</si>
  <si>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</si>
  <si>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</si>
  <si>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</si>
  <si>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</si>
  <si>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</si>
  <si>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</si>
  <si>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</si>
  <si>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</si>
  <si>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</si>
  <si>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</si>
  <si>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</si>
  <si>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</si>
  <si>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</si>
  <si>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</si>
  <si>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</si>
  <si>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</si>
  <si>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</si>
  <si>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</si>
  <si>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</si>
  <si>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</si>
  <si>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</si>
  <si>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</si>
  <si>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</si>
  <si>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</si>
  <si>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</si>
  <si>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</si>
  <si>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</si>
  <si>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</si>
  <si>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</si>
  <si>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</si>
  <si>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</si>
  <si>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</si>
  <si>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</si>
  <si>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</si>
  <si>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</si>
  <si>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</si>
  <si>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</si>
  <si>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</si>
  <si>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</si>
  <si>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</si>
  <si>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</si>
  <si>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</si>
  <si>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</si>
  <si>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</si>
  <si>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</si>
  <si>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</si>
  <si>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</si>
  <si>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</si>
  <si>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</si>
  <si>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</si>
  <si>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</si>
  <si>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</si>
  <si>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</si>
  <si>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</si>
  <si>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</si>
  <si>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</si>
  <si>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</si>
  <si>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</si>
  <si>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</si>
  <si>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</si>
  <si>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</si>
  <si>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</si>
  <si>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</si>
  <si>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</si>
  <si>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</si>
  <si>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</si>
  <si>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</si>
  <si>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</si>
  <si>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</si>
  <si>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</si>
  <si>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</si>
  <si>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</si>
  <si>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</si>
  <si>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</si>
  <si>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</si>
  <si>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</si>
  <si>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</si>
  <si>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</si>
  <si>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</si>
  <si>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</si>
  <si>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</si>
  <si>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</si>
  <si>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</si>
  <si>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</si>
  <si>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</si>
  <si>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</si>
  <si>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</si>
  <si>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</si>
  <si>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</si>
  <si>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</si>
  <si>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</si>
  <si>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</si>
  <si>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</si>
  <si>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</si>
  <si>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</si>
  <si>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</si>
  <si>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</si>
  <si>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</si>
  <si>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</si>
  <si>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</si>
  <si>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</si>
  <si>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</si>
  <si>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Przebudowa drogi gminnej  - dojazd do Rekowa</t>
  </si>
  <si>
    <t xml:space="preserve">Urząd Gminy Kobylanka      </t>
  </si>
  <si>
    <t xml:space="preserve">Urząd Gminy Kobylanka     </t>
  </si>
  <si>
    <t>Budowa drogi Cisewo-Zieleniewo wraz z modernizacją ulicy Popoiełuszki w Zieleniewie</t>
  </si>
  <si>
    <t>Budowa drogi Kobylanka-Jęczydół</t>
  </si>
  <si>
    <t xml:space="preserve">Urząd Gminy Kobylanka </t>
  </si>
  <si>
    <t>Wykaz  przedsięwzięć  Gminy Kobylanka w latach 2015- 2023</t>
  </si>
  <si>
    <t>Partycypacja JST w budowie infrastruktury inwestorów prywatnych</t>
  </si>
  <si>
    <t>WIELOLETNIA PROGNOZA FINANSOWA GMINY KOBYLANKA NA LATA 2015-2023</t>
  </si>
  <si>
    <t xml:space="preserve">Załącznik nr 3 do  projektu   nr  uchwały Nr   Rady Gminy Kobylanka z dnia  30 kwietnia 2015 r.       </t>
  </si>
  <si>
    <t>Załącznik nr 1 do projektu nr   uchwały Nr  Rady Gminy Kobylanka z dnia 30 kwitnia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</si>
</sst>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12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alibri"/>
      <family val="2"/>
    </font>
    <font>
      <sz val="18"/>
      <name val="Calibri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i/>
      <sz val="8"/>
      <name val="Arial CE"/>
      <family val="0"/>
    </font>
    <font>
      <sz val="8"/>
      <name val="Calibri"/>
      <family val="2"/>
    </font>
    <font>
      <sz val="9"/>
      <name val="Century Gothic"/>
      <family val="2"/>
    </font>
    <font>
      <b/>
      <i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Times New Roman"/>
      <family val="1"/>
    </font>
    <font>
      <i/>
      <sz val="8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10"/>
      <name val="Czcionka tekstu podstawowego"/>
      <family val="2"/>
    </font>
    <font>
      <b/>
      <sz val="1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b/>
      <i/>
      <sz val="8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9"/>
      <color theme="0"/>
      <name val="Calibri"/>
      <family val="2"/>
    </font>
    <font>
      <sz val="9"/>
      <color theme="1"/>
      <name val="Czcionka tekstu podstawowego"/>
      <family val="2"/>
    </font>
    <font>
      <b/>
      <sz val="9"/>
      <color theme="0"/>
      <name val="Calibri"/>
      <family val="2"/>
    </font>
    <font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/>
      <bottom style="hair"/>
    </border>
    <border>
      <left style="medium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8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8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8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8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8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8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81" fillId="24" borderId="0" applyNumberFormat="0" applyBorder="0" applyAlignment="0" applyProtection="0"/>
    <xf numFmtId="0" fontId="5" fillId="25" borderId="0" applyNumberFormat="0" applyBorder="0" applyAlignment="0" applyProtection="0"/>
    <xf numFmtId="0" fontId="82" fillId="24" borderId="0" applyNumberFormat="0" applyBorder="0" applyAlignment="0" applyProtection="0"/>
    <xf numFmtId="0" fontId="81" fillId="26" borderId="0" applyNumberFormat="0" applyBorder="0" applyAlignment="0" applyProtection="0"/>
    <xf numFmtId="0" fontId="5" fillId="17" borderId="0" applyNumberFormat="0" applyBorder="0" applyAlignment="0" applyProtection="0"/>
    <xf numFmtId="0" fontId="82" fillId="26" borderId="0" applyNumberFormat="0" applyBorder="0" applyAlignment="0" applyProtection="0"/>
    <xf numFmtId="0" fontId="81" fillId="27" borderId="0" applyNumberFormat="0" applyBorder="0" applyAlignment="0" applyProtection="0"/>
    <xf numFmtId="0" fontId="5" fillId="19" borderId="0" applyNumberFormat="0" applyBorder="0" applyAlignment="0" applyProtection="0"/>
    <xf numFmtId="0" fontId="82" fillId="27" borderId="0" applyNumberFormat="0" applyBorder="0" applyAlignment="0" applyProtection="0"/>
    <xf numFmtId="0" fontId="81" fillId="28" borderId="0" applyNumberFormat="0" applyBorder="0" applyAlignment="0" applyProtection="0"/>
    <xf numFmtId="0" fontId="5" fillId="29" borderId="0" applyNumberFormat="0" applyBorder="0" applyAlignment="0" applyProtection="0"/>
    <xf numFmtId="0" fontId="82" fillId="28" borderId="0" applyNumberFormat="0" applyBorder="0" applyAlignment="0" applyProtection="0"/>
    <xf numFmtId="0" fontId="81" fillId="30" borderId="0" applyNumberFormat="0" applyBorder="0" applyAlignment="0" applyProtection="0"/>
    <xf numFmtId="0" fontId="5" fillId="31" borderId="0" applyNumberFormat="0" applyBorder="0" applyAlignment="0" applyProtection="0"/>
    <xf numFmtId="0" fontId="82" fillId="30" borderId="0" applyNumberFormat="0" applyBorder="0" applyAlignment="0" applyProtection="0"/>
    <xf numFmtId="0" fontId="81" fillId="32" borderId="0" applyNumberFormat="0" applyBorder="0" applyAlignment="0" applyProtection="0"/>
    <xf numFmtId="0" fontId="5" fillId="33" borderId="0" applyNumberFormat="0" applyBorder="0" applyAlignment="0" applyProtection="0"/>
    <xf numFmtId="0" fontId="82" fillId="32" borderId="0" applyNumberFormat="0" applyBorder="0" applyAlignment="0" applyProtection="0"/>
    <xf numFmtId="0" fontId="81" fillId="34" borderId="0" applyNumberFormat="0" applyBorder="0" applyAlignment="0" applyProtection="0"/>
    <xf numFmtId="0" fontId="5" fillId="35" borderId="0" applyNumberFormat="0" applyBorder="0" applyAlignment="0" applyProtection="0"/>
    <xf numFmtId="0" fontId="82" fillId="34" borderId="0" applyNumberFormat="0" applyBorder="0" applyAlignment="0" applyProtection="0"/>
    <xf numFmtId="0" fontId="81" fillId="36" borderId="0" applyNumberFormat="0" applyBorder="0" applyAlignment="0" applyProtection="0"/>
    <xf numFmtId="0" fontId="5" fillId="37" borderId="0" applyNumberFormat="0" applyBorder="0" applyAlignment="0" applyProtection="0"/>
    <xf numFmtId="0" fontId="82" fillId="36" borderId="0" applyNumberFormat="0" applyBorder="0" applyAlignment="0" applyProtection="0"/>
    <xf numFmtId="0" fontId="81" fillId="38" borderId="0" applyNumberFormat="0" applyBorder="0" applyAlignment="0" applyProtection="0"/>
    <xf numFmtId="0" fontId="5" fillId="39" borderId="0" applyNumberFormat="0" applyBorder="0" applyAlignment="0" applyProtection="0"/>
    <xf numFmtId="0" fontId="82" fillId="38" borderId="0" applyNumberFormat="0" applyBorder="0" applyAlignment="0" applyProtection="0"/>
    <xf numFmtId="0" fontId="81" fillId="40" borderId="0" applyNumberFormat="0" applyBorder="0" applyAlignment="0" applyProtection="0"/>
    <xf numFmtId="0" fontId="5" fillId="29" borderId="0" applyNumberFormat="0" applyBorder="0" applyAlignment="0" applyProtection="0"/>
    <xf numFmtId="0" fontId="82" fillId="40" borderId="0" applyNumberFormat="0" applyBorder="0" applyAlignment="0" applyProtection="0"/>
    <xf numFmtId="0" fontId="81" fillId="41" borderId="0" applyNumberFormat="0" applyBorder="0" applyAlignment="0" applyProtection="0"/>
    <xf numFmtId="0" fontId="5" fillId="31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5" fillId="43" borderId="0" applyNumberFormat="0" applyBorder="0" applyAlignment="0" applyProtection="0"/>
    <xf numFmtId="0" fontId="82" fillId="42" borderId="0" applyNumberFormat="0" applyBorder="0" applyAlignment="0" applyProtection="0"/>
    <xf numFmtId="0" fontId="83" fillId="44" borderId="1" applyNumberFormat="0" applyAlignment="0" applyProtection="0"/>
    <xf numFmtId="0" fontId="6" fillId="13" borderId="2" applyNumberFormat="0" applyAlignment="0" applyProtection="0"/>
    <xf numFmtId="0" fontId="84" fillId="44" borderId="1" applyNumberFormat="0" applyAlignment="0" applyProtection="0"/>
    <xf numFmtId="0" fontId="85" fillId="45" borderId="3" applyNumberFormat="0" applyAlignment="0" applyProtection="0"/>
    <xf numFmtId="0" fontId="7" fillId="46" borderId="4" applyNumberFormat="0" applyAlignment="0" applyProtection="0"/>
    <xf numFmtId="0" fontId="86" fillId="45" borderId="3" applyNumberFormat="0" applyAlignment="0" applyProtection="0"/>
    <xf numFmtId="0" fontId="87" fillId="47" borderId="0" applyNumberFormat="0" applyBorder="0" applyAlignment="0" applyProtection="0"/>
    <xf numFmtId="0" fontId="8" fillId="7" borderId="0" applyNumberFormat="0" applyBorder="0" applyAlignment="0" applyProtection="0"/>
    <xf numFmtId="0" fontId="88" fillId="4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5" applyNumberFormat="0" applyFill="0" applyAlignment="0" applyProtection="0"/>
    <xf numFmtId="0" fontId="9" fillId="0" borderId="6" applyNumberFormat="0" applyFill="0" applyAlignment="0" applyProtection="0"/>
    <xf numFmtId="0" fontId="90" fillId="0" borderId="5" applyNumberFormat="0" applyFill="0" applyAlignment="0" applyProtection="0"/>
    <xf numFmtId="0" fontId="91" fillId="48" borderId="7" applyNumberFormat="0" applyAlignment="0" applyProtection="0"/>
    <xf numFmtId="0" fontId="10" fillId="49" borderId="8" applyNumberFormat="0" applyAlignment="0" applyProtection="0"/>
    <xf numFmtId="0" fontId="92" fillId="48" borderId="7" applyNumberFormat="0" applyAlignment="0" applyProtection="0"/>
    <xf numFmtId="0" fontId="93" fillId="0" borderId="9" applyNumberFormat="0" applyFill="0" applyAlignment="0" applyProtection="0"/>
    <xf numFmtId="0" fontId="11" fillId="0" borderId="10" applyNumberFormat="0" applyFill="0" applyAlignment="0" applyProtection="0"/>
    <xf numFmtId="0" fontId="94" fillId="0" borderId="9" applyNumberFormat="0" applyFill="0" applyAlignment="0" applyProtection="0"/>
    <xf numFmtId="0" fontId="95" fillId="0" borderId="11" applyNumberFormat="0" applyFill="0" applyAlignment="0" applyProtection="0"/>
    <xf numFmtId="0" fontId="12" fillId="0" borderId="12" applyNumberFormat="0" applyFill="0" applyAlignment="0" applyProtection="0"/>
    <xf numFmtId="0" fontId="96" fillId="0" borderId="11" applyNumberFormat="0" applyFill="0" applyAlignment="0" applyProtection="0"/>
    <xf numFmtId="0" fontId="97" fillId="0" borderId="13" applyNumberFormat="0" applyFill="0" applyAlignment="0" applyProtection="0"/>
    <xf numFmtId="0" fontId="13" fillId="0" borderId="14" applyNumberFormat="0" applyFill="0" applyAlignment="0" applyProtection="0"/>
    <xf numFmtId="0" fontId="98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14" fillId="51" borderId="0" applyNumberFormat="0" applyBorder="0" applyAlignment="0" applyProtection="0"/>
    <xf numFmtId="0" fontId="100" fillId="50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01" fillId="45" borderId="1" applyNumberFormat="0" applyAlignment="0" applyProtection="0"/>
    <xf numFmtId="0" fontId="17" fillId="46" borderId="2" applyNumberFormat="0" applyAlignment="0" applyProtection="0"/>
    <xf numFmtId="0" fontId="102" fillId="45" borderId="1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15" applyNumberFormat="0" applyFill="0" applyAlignment="0" applyProtection="0"/>
    <xf numFmtId="0" fontId="4" fillId="0" borderId="16" applyNumberFormat="0" applyFill="0" applyAlignment="0" applyProtection="0"/>
    <xf numFmtId="0" fontId="104" fillId="0" borderId="15" applyNumberFormat="0" applyFill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15" fillId="53" borderId="18" applyNumberFormat="0" applyFont="0" applyAlignment="0" applyProtection="0"/>
    <xf numFmtId="0" fontId="2" fillId="52" borderId="17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0" fillId="54" borderId="0" applyNumberFormat="0" applyBorder="0" applyAlignment="0" applyProtection="0"/>
    <xf numFmtId="0" fontId="21" fillId="5" borderId="0" applyNumberFormat="0" applyBorder="0" applyAlignment="0" applyProtection="0"/>
    <xf numFmtId="0" fontId="111" fillId="54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80" fillId="0" borderId="0" xfId="128">
      <alignment/>
      <protection/>
    </xf>
    <xf numFmtId="0" fontId="2" fillId="0" borderId="0" xfId="128" applyFont="1" applyAlignment="1">
      <alignment vertical="center"/>
      <protection/>
    </xf>
    <xf numFmtId="0" fontId="24" fillId="0" borderId="0" xfId="128" applyFont="1" applyBorder="1" applyAlignment="1">
      <alignment horizontal="center" vertical="center" wrapText="1"/>
      <protection/>
    </xf>
    <xf numFmtId="0" fontId="24" fillId="0" borderId="0" xfId="128" applyFont="1" applyAlignment="1">
      <alignment horizontal="center" vertical="center" wrapText="1"/>
      <protection/>
    </xf>
    <xf numFmtId="0" fontId="25" fillId="0" borderId="0" xfId="128" applyFont="1" applyAlignment="1">
      <alignment horizontal="right"/>
      <protection/>
    </xf>
    <xf numFmtId="0" fontId="80" fillId="0" borderId="0" xfId="128" applyAlignment="1">
      <alignment vertical="center"/>
      <protection/>
    </xf>
    <xf numFmtId="0" fontId="15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80" fillId="0" borderId="0" xfId="128" applyFill="1" applyAlignment="1">
      <alignment vertical="center"/>
      <protection/>
    </xf>
    <xf numFmtId="0" fontId="19" fillId="0" borderId="0" xfId="128" applyFont="1" applyFill="1" applyAlignment="1">
      <alignment vertical="center"/>
      <protection/>
    </xf>
    <xf numFmtId="0" fontId="2" fillId="0" borderId="0" xfId="128" applyFont="1" applyFill="1" applyAlignment="1">
      <alignment vertical="center"/>
      <protection/>
    </xf>
    <xf numFmtId="0" fontId="3" fillId="0" borderId="0" xfId="128" applyFont="1" applyFill="1" applyAlignment="1">
      <alignment vertical="center"/>
      <protection/>
    </xf>
    <xf numFmtId="0" fontId="80" fillId="55" borderId="0" xfId="128" applyFill="1" applyAlignment="1">
      <alignment vertical="center"/>
      <protection/>
    </xf>
    <xf numFmtId="0" fontId="4" fillId="55" borderId="0" xfId="128" applyFont="1" applyFill="1" applyAlignment="1">
      <alignment vertical="center"/>
      <protection/>
    </xf>
    <xf numFmtId="164" fontId="29" fillId="55" borderId="0" xfId="128" applyNumberFormat="1" applyFont="1" applyFill="1" applyAlignment="1">
      <alignment vertical="center"/>
      <protection/>
    </xf>
    <xf numFmtId="0" fontId="29" fillId="55" borderId="0" xfId="128" applyFont="1" applyFill="1" applyAlignment="1">
      <alignment vertical="center"/>
      <protection/>
    </xf>
    <xf numFmtId="0" fontId="28" fillId="0" borderId="0" xfId="128" applyFont="1" applyFill="1" applyAlignment="1">
      <alignment vertical="center"/>
      <protection/>
    </xf>
    <xf numFmtId="0" fontId="28" fillId="0" borderId="0" xfId="128" applyFont="1" applyAlignment="1">
      <alignment vertical="center"/>
      <protection/>
    </xf>
    <xf numFmtId="164" fontId="28" fillId="0" borderId="0" xfId="128" applyNumberFormat="1" applyFont="1" applyAlignment="1">
      <alignment vertical="center"/>
      <protection/>
    </xf>
    <xf numFmtId="0" fontId="28" fillId="56" borderId="0" xfId="128" applyFont="1" applyFill="1" applyAlignment="1">
      <alignment vertical="center"/>
      <protection/>
    </xf>
    <xf numFmtId="164" fontId="28" fillId="56" borderId="0" xfId="128" applyNumberFormat="1" applyFont="1" applyFill="1" applyAlignment="1">
      <alignment vertical="center"/>
      <protection/>
    </xf>
    <xf numFmtId="0" fontId="80" fillId="56" borderId="0" xfId="128" applyFill="1" applyAlignment="1">
      <alignment vertical="center"/>
      <protection/>
    </xf>
    <xf numFmtId="0" fontId="22" fillId="0" borderId="0" xfId="128" applyFont="1" applyAlignment="1">
      <alignment horizontal="right" wrapText="1"/>
      <protection/>
    </xf>
    <xf numFmtId="0" fontId="2" fillId="55" borderId="0" xfId="128" applyFont="1" applyFill="1" applyAlignment="1">
      <alignment vertical="center"/>
      <protection/>
    </xf>
    <xf numFmtId="0" fontId="80" fillId="0" borderId="0" xfId="121" applyAlignment="1">
      <alignment horizontal="center" vertical="center"/>
      <protection/>
    </xf>
    <xf numFmtId="0" fontId="112" fillId="0" borderId="0" xfId="121" applyFont="1" applyProtection="1">
      <alignment/>
      <protection locked="0"/>
    </xf>
    <xf numFmtId="0" fontId="112" fillId="0" borderId="0" xfId="121" applyFont="1" applyAlignment="1" applyProtection="1">
      <alignment/>
      <protection locked="0"/>
    </xf>
    <xf numFmtId="0" fontId="80" fillId="0" borderId="0" xfId="121" applyProtection="1">
      <alignment/>
      <protection locked="0"/>
    </xf>
    <xf numFmtId="0" fontId="30" fillId="0" borderId="0" xfId="121" applyFont="1" applyProtection="1">
      <alignment/>
      <protection locked="0"/>
    </xf>
    <xf numFmtId="0" fontId="31" fillId="0" borderId="0" xfId="121" applyFont="1" applyAlignment="1" applyProtection="1">
      <alignment vertical="center"/>
      <protection locked="0"/>
    </xf>
    <xf numFmtId="0" fontId="80" fillId="0" borderId="0" xfId="121">
      <alignment/>
      <protection/>
    </xf>
    <xf numFmtId="0" fontId="113" fillId="0" borderId="0" xfId="121" applyFont="1" applyAlignment="1" applyProtection="1">
      <alignment/>
      <protection locked="0"/>
    </xf>
    <xf numFmtId="0" fontId="114" fillId="0" borderId="0" xfId="121" applyFont="1" applyProtection="1">
      <alignment/>
      <protection locked="0"/>
    </xf>
    <xf numFmtId="0" fontId="115" fillId="0" borderId="0" xfId="121" applyFont="1" applyProtection="1">
      <alignment/>
      <protection locked="0"/>
    </xf>
    <xf numFmtId="0" fontId="80" fillId="0" borderId="0" xfId="121" applyAlignment="1" applyProtection="1">
      <alignment/>
      <protection locked="0"/>
    </xf>
    <xf numFmtId="0" fontId="32" fillId="0" borderId="0" xfId="121" applyFont="1" applyAlignment="1" applyProtection="1">
      <alignment horizontal="right"/>
      <protection locked="0"/>
    </xf>
    <xf numFmtId="0" fontId="30" fillId="0" borderId="0" xfId="121" applyFont="1" applyAlignment="1" applyProtection="1">
      <alignment/>
      <protection locked="0"/>
    </xf>
    <xf numFmtId="0" fontId="30" fillId="0" borderId="0" xfId="121" applyFont="1">
      <alignment/>
      <protection/>
    </xf>
    <xf numFmtId="0" fontId="32" fillId="0" borderId="0" xfId="121" applyFont="1" applyAlignment="1" applyProtection="1">
      <alignment horizontal="right" vertical="center"/>
      <protection locked="0"/>
    </xf>
    <xf numFmtId="0" fontId="30" fillId="0" borderId="0" xfId="121" applyFont="1" applyAlignment="1">
      <alignment/>
      <protection/>
    </xf>
    <xf numFmtId="0" fontId="30" fillId="0" borderId="0" xfId="121" applyFont="1" applyBorder="1" applyProtection="1">
      <alignment/>
      <protection locked="0"/>
    </xf>
    <xf numFmtId="0" fontId="31" fillId="0" borderId="0" xfId="121" applyFont="1" applyProtection="1">
      <alignment/>
      <protection locked="0"/>
    </xf>
    <xf numFmtId="0" fontId="34" fillId="0" borderId="0" xfId="121" applyFont="1" applyAlignment="1" applyProtection="1">
      <alignment horizontal="left"/>
      <protection locked="0"/>
    </xf>
    <xf numFmtId="0" fontId="116" fillId="0" borderId="0" xfId="121" applyFont="1" applyAlignment="1">
      <alignment horizontal="left" vertical="center"/>
      <protection/>
    </xf>
    <xf numFmtId="49" fontId="33" fillId="57" borderId="19" xfId="139" applyNumberFormat="1" applyFont="1" applyFill="1" applyBorder="1" applyAlignment="1">
      <alignment horizontal="center" vertical="center"/>
      <protection/>
    </xf>
    <xf numFmtId="49" fontId="33" fillId="57" borderId="20" xfId="139" applyNumberFormat="1" applyFont="1" applyFill="1" applyBorder="1" applyAlignment="1" applyProtection="1">
      <alignment horizontal="center" vertical="center"/>
      <protection locked="0"/>
    </xf>
    <xf numFmtId="49" fontId="33" fillId="57" borderId="21" xfId="139" applyNumberFormat="1" applyFont="1" applyFill="1" applyBorder="1" applyAlignment="1">
      <alignment horizontal="center" vertical="center"/>
      <protection/>
    </xf>
    <xf numFmtId="1" fontId="33" fillId="57" borderId="19" xfId="139" applyNumberFormat="1" applyFont="1" applyFill="1" applyBorder="1" applyAlignment="1">
      <alignment horizontal="center" vertical="center" wrapText="1"/>
      <protection/>
    </xf>
    <xf numFmtId="1" fontId="33" fillId="57" borderId="22" xfId="139" applyNumberFormat="1" applyFont="1" applyFill="1" applyBorder="1" applyAlignment="1">
      <alignment horizontal="center" vertical="center" wrapText="1"/>
      <protection/>
    </xf>
    <xf numFmtId="1" fontId="33" fillId="57" borderId="23" xfId="139" applyNumberFormat="1" applyFont="1" applyFill="1" applyBorder="1" applyAlignment="1">
      <alignment horizontal="center" vertical="center" wrapText="1"/>
      <protection/>
    </xf>
    <xf numFmtId="1" fontId="33" fillId="57" borderId="24" xfId="139" applyNumberFormat="1" applyFont="1" applyFill="1" applyBorder="1" applyAlignment="1">
      <alignment horizontal="center" vertical="center"/>
      <protection/>
    </xf>
    <xf numFmtId="1" fontId="33" fillId="57" borderId="22" xfId="139" applyNumberFormat="1" applyFont="1" applyFill="1" applyBorder="1" applyAlignment="1">
      <alignment horizontal="center" vertical="center"/>
      <protection/>
    </xf>
    <xf numFmtId="1" fontId="33" fillId="57" borderId="23" xfId="139" applyNumberFormat="1" applyFont="1" applyFill="1" applyBorder="1" applyAlignment="1">
      <alignment horizontal="center" vertical="center"/>
      <protection/>
    </xf>
    <xf numFmtId="0" fontId="80" fillId="0" borderId="0" xfId="121" applyFont="1">
      <alignment/>
      <protection/>
    </xf>
    <xf numFmtId="0" fontId="117" fillId="0" borderId="25" xfId="121" applyFont="1" applyBorder="1" applyAlignment="1">
      <alignment horizontal="left" vertical="center"/>
      <protection/>
    </xf>
    <xf numFmtId="0" fontId="117" fillId="0" borderId="26" xfId="121" applyFont="1" applyBorder="1" applyAlignment="1" applyProtection="1">
      <alignment horizontal="left" vertical="center"/>
      <protection locked="0"/>
    </xf>
    <xf numFmtId="0" fontId="117" fillId="0" borderId="27" xfId="121" applyFont="1" applyBorder="1" applyAlignment="1">
      <alignment vertical="center" wrapText="1"/>
      <protection/>
    </xf>
    <xf numFmtId="165" fontId="36" fillId="58" borderId="25" xfId="139" applyNumberFormat="1" applyFont="1" applyFill="1" applyBorder="1" applyAlignment="1">
      <alignment vertical="center" shrinkToFit="1"/>
      <protection/>
    </xf>
    <xf numFmtId="165" fontId="36" fillId="58" borderId="28" xfId="139" applyNumberFormat="1" applyFont="1" applyFill="1" applyBorder="1" applyAlignment="1">
      <alignment vertical="center" shrinkToFit="1"/>
      <protection/>
    </xf>
    <xf numFmtId="165" fontId="36" fillId="58" borderId="29" xfId="139" applyNumberFormat="1" applyFont="1" applyFill="1" applyBorder="1" applyAlignment="1">
      <alignment vertical="center" shrinkToFit="1"/>
      <protection/>
    </xf>
    <xf numFmtId="165" fontId="36" fillId="0" borderId="30" xfId="139" applyNumberFormat="1" applyFont="1" applyFill="1" applyBorder="1" applyAlignment="1">
      <alignment vertical="center" shrinkToFit="1"/>
      <protection/>
    </xf>
    <xf numFmtId="165" fontId="36" fillId="0" borderId="28" xfId="139" applyNumberFormat="1" applyFont="1" applyFill="1" applyBorder="1" applyAlignment="1">
      <alignment vertical="center" shrinkToFit="1"/>
      <protection/>
    </xf>
    <xf numFmtId="165" fontId="36" fillId="0" borderId="29" xfId="139" applyNumberFormat="1" applyFont="1" applyFill="1" applyBorder="1" applyAlignment="1">
      <alignment vertical="center" shrinkToFit="1"/>
      <protection/>
    </xf>
    <xf numFmtId="0" fontId="103" fillId="0" borderId="0" xfId="121" applyFont="1">
      <alignment/>
      <protection/>
    </xf>
    <xf numFmtId="0" fontId="118" fillId="0" borderId="25" xfId="121" applyFont="1" applyBorder="1" applyAlignment="1">
      <alignment horizontal="left" vertical="center"/>
      <protection/>
    </xf>
    <xf numFmtId="0" fontId="118" fillId="59" borderId="26" xfId="121" applyFont="1" applyFill="1" applyBorder="1" applyAlignment="1" applyProtection="1">
      <alignment horizontal="left" vertical="center"/>
      <protection locked="0"/>
    </xf>
    <xf numFmtId="0" fontId="118" fillId="0" borderId="26" xfId="121" applyFont="1" applyBorder="1" applyAlignment="1">
      <alignment horizontal="left" vertical="center" wrapText="1" indent="1"/>
      <protection/>
    </xf>
    <xf numFmtId="165" fontId="37" fillId="58" borderId="25" xfId="139" applyNumberFormat="1" applyFont="1" applyFill="1" applyBorder="1" applyAlignment="1">
      <alignment vertical="center" shrinkToFit="1"/>
      <protection/>
    </xf>
    <xf numFmtId="165" fontId="37" fillId="58" borderId="28" xfId="139" applyNumberFormat="1" applyFont="1" applyFill="1" applyBorder="1" applyAlignment="1">
      <alignment vertical="center" shrinkToFit="1"/>
      <protection/>
    </xf>
    <xf numFmtId="165" fontId="37" fillId="58" borderId="29" xfId="139" applyNumberFormat="1" applyFont="1" applyFill="1" applyBorder="1" applyAlignment="1">
      <alignment vertical="center" shrinkToFit="1"/>
      <protection/>
    </xf>
    <xf numFmtId="165" fontId="37" fillId="0" borderId="30" xfId="139" applyNumberFormat="1" applyFont="1" applyFill="1" applyBorder="1" applyAlignment="1">
      <alignment vertical="center" shrinkToFit="1"/>
      <protection/>
    </xf>
    <xf numFmtId="165" fontId="37" fillId="0" borderId="28" xfId="139" applyNumberFormat="1" applyFont="1" applyFill="1" applyBorder="1" applyAlignment="1">
      <alignment vertical="center" shrinkToFit="1"/>
      <protection/>
    </xf>
    <xf numFmtId="165" fontId="37" fillId="0" borderId="29" xfId="139" applyNumberFormat="1" applyFont="1" applyFill="1" applyBorder="1" applyAlignment="1">
      <alignment vertical="center" shrinkToFit="1"/>
      <protection/>
    </xf>
    <xf numFmtId="0" fontId="118" fillId="0" borderId="26" xfId="121" applyFont="1" applyBorder="1" applyAlignment="1" applyProtection="1">
      <alignment horizontal="left" vertical="center"/>
      <protection locked="0"/>
    </xf>
    <xf numFmtId="0" fontId="118" fillId="0" borderId="26" xfId="121" applyFont="1" applyBorder="1" applyAlignment="1">
      <alignment horizontal="left" vertical="center" wrapText="1" indent="2"/>
      <protection/>
    </xf>
    <xf numFmtId="0" fontId="118" fillId="0" borderId="26" xfId="121" applyFont="1" applyBorder="1" applyAlignment="1">
      <alignment horizontal="left" vertical="center" wrapText="1" indent="3"/>
      <protection/>
    </xf>
    <xf numFmtId="0" fontId="118" fillId="0" borderId="26" xfId="121" applyFont="1" applyBorder="1" applyAlignment="1">
      <alignment horizontal="left" vertical="center" wrapText="1" indent="4"/>
      <protection/>
    </xf>
    <xf numFmtId="165" fontId="36" fillId="58" borderId="25" xfId="139" applyNumberFormat="1" applyFont="1" applyFill="1" applyBorder="1" applyAlignment="1">
      <alignment horizontal="center" vertical="center" shrinkToFit="1"/>
      <protection/>
    </xf>
    <xf numFmtId="165" fontId="36" fillId="58" borderId="28" xfId="139" applyNumberFormat="1" applyFont="1" applyFill="1" applyBorder="1" applyAlignment="1">
      <alignment horizontal="center" vertical="center" shrinkToFit="1"/>
      <protection/>
    </xf>
    <xf numFmtId="165" fontId="36" fillId="58" borderId="29" xfId="139" applyNumberFormat="1" applyFont="1" applyFill="1" applyBorder="1" applyAlignment="1">
      <alignment horizontal="center" vertical="center" shrinkToFit="1"/>
      <protection/>
    </xf>
    <xf numFmtId="165" fontId="36" fillId="0" borderId="30" xfId="139" applyNumberFormat="1" applyFont="1" applyFill="1" applyBorder="1" applyAlignment="1">
      <alignment horizontal="center" vertical="center" shrinkToFit="1"/>
      <protection/>
    </xf>
    <xf numFmtId="165" fontId="36" fillId="0" borderId="28" xfId="139" applyNumberFormat="1" applyFont="1" applyFill="1" applyBorder="1" applyAlignment="1">
      <alignment horizontal="center" vertical="center" shrinkToFit="1"/>
      <protection/>
    </xf>
    <xf numFmtId="165" fontId="36" fillId="0" borderId="29" xfId="139" applyNumberFormat="1" applyFont="1" applyFill="1" applyBorder="1" applyAlignment="1">
      <alignment horizontal="center" vertical="center" shrinkToFit="1"/>
      <protection/>
    </xf>
    <xf numFmtId="166" fontId="37" fillId="58" borderId="25" xfId="139" applyNumberFormat="1" applyFont="1" applyFill="1" applyBorder="1" applyAlignment="1">
      <alignment vertical="center" shrinkToFit="1"/>
      <protection/>
    </xf>
    <xf numFmtId="166" fontId="37" fillId="58" borderId="28" xfId="139" applyNumberFormat="1" applyFont="1" applyFill="1" applyBorder="1" applyAlignment="1">
      <alignment vertical="center" shrinkToFit="1"/>
      <protection/>
    </xf>
    <xf numFmtId="166" fontId="37" fillId="58" borderId="29" xfId="139" applyNumberFormat="1" applyFont="1" applyFill="1" applyBorder="1" applyAlignment="1">
      <alignment vertical="center" shrinkToFit="1"/>
      <protection/>
    </xf>
    <xf numFmtId="166" fontId="37" fillId="0" borderId="30" xfId="139" applyNumberFormat="1" applyFont="1" applyFill="1" applyBorder="1" applyAlignment="1">
      <alignment vertical="center" shrinkToFit="1"/>
      <protection/>
    </xf>
    <xf numFmtId="166" fontId="37" fillId="0" borderId="28" xfId="139" applyNumberFormat="1" applyFont="1" applyFill="1" applyBorder="1" applyAlignment="1">
      <alignment vertical="center" shrinkToFit="1"/>
      <protection/>
    </xf>
    <xf numFmtId="166" fontId="37" fillId="0" borderId="29" xfId="139" applyNumberFormat="1" applyFont="1" applyFill="1" applyBorder="1" applyAlignment="1">
      <alignment vertical="center" shrinkToFit="1"/>
      <protection/>
    </xf>
    <xf numFmtId="0" fontId="118" fillId="0" borderId="25" xfId="121" applyFont="1" applyBorder="1" applyAlignment="1" applyProtection="1">
      <alignment horizontal="left" vertical="center"/>
      <protection locked="0"/>
    </xf>
    <xf numFmtId="0" fontId="118" fillId="0" borderId="27" xfId="121" applyFont="1" applyBorder="1" applyAlignment="1" applyProtection="1">
      <alignment horizontal="left" vertical="center" wrapText="1" indent="1"/>
      <protection locked="0"/>
    </xf>
    <xf numFmtId="0" fontId="37" fillId="0" borderId="30" xfId="139" applyNumberFormat="1" applyFont="1" applyFill="1" applyBorder="1" applyAlignment="1">
      <alignment horizontal="center" vertical="center" shrinkToFit="1"/>
      <protection/>
    </xf>
    <xf numFmtId="0" fontId="37" fillId="0" borderId="28" xfId="139" applyNumberFormat="1" applyFont="1" applyFill="1" applyBorder="1" applyAlignment="1">
      <alignment horizontal="center" vertical="center" shrinkToFit="1"/>
      <protection/>
    </xf>
    <xf numFmtId="0" fontId="37" fillId="0" borderId="29" xfId="139" applyNumberFormat="1" applyFont="1" applyFill="1" applyBorder="1" applyAlignment="1">
      <alignment horizontal="center" vertical="center" shrinkToFit="1"/>
      <protection/>
    </xf>
    <xf numFmtId="0" fontId="118" fillId="0" borderId="26" xfId="121" applyFont="1" applyBorder="1" applyAlignment="1" quotePrefix="1">
      <alignment horizontal="left" vertical="center" wrapText="1" indent="2"/>
      <protection/>
    </xf>
    <xf numFmtId="0" fontId="118" fillId="0" borderId="26" xfId="121" applyFont="1" applyBorder="1" applyAlignment="1" quotePrefix="1">
      <alignment horizontal="left" vertical="center" wrapText="1" indent="3"/>
      <protection/>
    </xf>
    <xf numFmtId="0" fontId="117" fillId="0" borderId="27" xfId="121" applyFont="1" applyBorder="1" applyAlignment="1">
      <alignment horizontal="left" vertical="center" wrapText="1"/>
      <protection/>
    </xf>
    <xf numFmtId="0" fontId="118" fillId="0" borderId="31" xfId="121" applyFont="1" applyBorder="1" applyAlignment="1">
      <alignment horizontal="left" vertical="center"/>
      <protection/>
    </xf>
    <xf numFmtId="0" fontId="118" fillId="0" borderId="32" xfId="121" applyFont="1" applyBorder="1" applyAlignment="1" applyProtection="1">
      <alignment horizontal="left" vertical="center"/>
      <protection locked="0"/>
    </xf>
    <xf numFmtId="0" fontId="118" fillId="0" borderId="32" xfId="121" applyFont="1" applyBorder="1" applyAlignment="1">
      <alignment horizontal="left" vertical="center" wrapText="1" indent="1"/>
      <protection/>
    </xf>
    <xf numFmtId="165" fontId="37" fillId="58" borderId="31" xfId="139" applyNumberFormat="1" applyFont="1" applyFill="1" applyBorder="1" applyAlignment="1">
      <alignment vertical="center" shrinkToFit="1"/>
      <protection/>
    </xf>
    <xf numFmtId="165" fontId="37" fillId="58" borderId="33" xfId="139" applyNumberFormat="1" applyFont="1" applyFill="1" applyBorder="1" applyAlignment="1">
      <alignment vertical="center" shrinkToFit="1"/>
      <protection/>
    </xf>
    <xf numFmtId="165" fontId="37" fillId="58" borderId="34" xfId="139" applyNumberFormat="1" applyFont="1" applyFill="1" applyBorder="1" applyAlignment="1">
      <alignment vertical="center" shrinkToFit="1"/>
      <protection/>
    </xf>
    <xf numFmtId="165" fontId="37" fillId="0" borderId="35" xfId="139" applyNumberFormat="1" applyFont="1" applyFill="1" applyBorder="1" applyAlignment="1">
      <alignment vertical="center" shrinkToFit="1"/>
      <protection/>
    </xf>
    <xf numFmtId="165" fontId="37" fillId="0" borderId="33" xfId="139" applyNumberFormat="1" applyFont="1" applyFill="1" applyBorder="1" applyAlignment="1">
      <alignment vertical="center" shrinkToFit="1"/>
      <protection/>
    </xf>
    <xf numFmtId="165" fontId="37" fillId="0" borderId="34" xfId="139" applyNumberFormat="1" applyFont="1" applyFill="1" applyBorder="1" applyAlignment="1">
      <alignment vertical="center" shrinkToFit="1"/>
      <protection/>
    </xf>
    <xf numFmtId="0" fontId="117" fillId="0" borderId="36" xfId="121" applyFont="1" applyBorder="1" applyAlignment="1">
      <alignment horizontal="left" vertical="center"/>
      <protection/>
    </xf>
    <xf numFmtId="0" fontId="117" fillId="0" borderId="37" xfId="121" applyFont="1" applyBorder="1" applyAlignment="1" applyProtection="1">
      <alignment horizontal="left" vertical="center"/>
      <protection locked="0"/>
    </xf>
    <xf numFmtId="0" fontId="117" fillId="0" borderId="38" xfId="121" applyFont="1" applyBorder="1" applyAlignment="1">
      <alignment vertical="center" wrapText="1"/>
      <protection/>
    </xf>
    <xf numFmtId="165" fontId="36" fillId="58" borderId="36" xfId="139" applyNumberFormat="1" applyFont="1" applyFill="1" applyBorder="1" applyAlignment="1">
      <alignment horizontal="center" vertical="center" shrinkToFit="1"/>
      <protection/>
    </xf>
    <xf numFmtId="165" fontId="36" fillId="58" borderId="39" xfId="139" applyNumberFormat="1" applyFont="1" applyFill="1" applyBorder="1" applyAlignment="1">
      <alignment horizontal="center" vertical="center" shrinkToFit="1"/>
      <protection/>
    </xf>
    <xf numFmtId="165" fontId="36" fillId="58" borderId="40" xfId="139" applyNumberFormat="1" applyFont="1" applyFill="1" applyBorder="1" applyAlignment="1">
      <alignment horizontal="center" vertical="center" shrinkToFit="1"/>
      <protection/>
    </xf>
    <xf numFmtId="165" fontId="36" fillId="0" borderId="41" xfId="139" applyNumberFormat="1" applyFont="1" applyFill="1" applyBorder="1" applyAlignment="1">
      <alignment horizontal="center" vertical="center" shrinkToFit="1"/>
      <protection/>
    </xf>
    <xf numFmtId="165" fontId="36" fillId="0" borderId="39" xfId="139" applyNumberFormat="1" applyFont="1" applyFill="1" applyBorder="1" applyAlignment="1">
      <alignment horizontal="center" vertical="center" shrinkToFit="1"/>
      <protection/>
    </xf>
    <xf numFmtId="165" fontId="36" fillId="0" borderId="40" xfId="139" applyNumberFormat="1" applyFont="1" applyFill="1" applyBorder="1" applyAlignment="1">
      <alignment horizontal="center" vertical="center" shrinkToFit="1"/>
      <protection/>
    </xf>
    <xf numFmtId="0" fontId="118" fillId="0" borderId="42" xfId="121" applyFont="1" applyBorder="1" applyAlignment="1">
      <alignment horizontal="left" vertical="center"/>
      <protection/>
    </xf>
    <xf numFmtId="0" fontId="118" fillId="0" borderId="43" xfId="121" applyFont="1" applyBorder="1" applyAlignment="1" applyProtection="1">
      <alignment horizontal="left" vertical="center"/>
      <protection locked="0"/>
    </xf>
    <xf numFmtId="0" fontId="118" fillId="0" borderId="43" xfId="121" applyFont="1" applyBorder="1" applyAlignment="1">
      <alignment horizontal="left" vertical="center" wrapText="1" indent="1"/>
      <protection/>
    </xf>
    <xf numFmtId="165" fontId="37" fillId="58" borderId="42" xfId="139" applyNumberFormat="1" applyFont="1" applyFill="1" applyBorder="1" applyAlignment="1">
      <alignment vertical="center" shrinkToFit="1"/>
      <protection/>
    </xf>
    <xf numFmtId="165" fontId="37" fillId="58" borderId="44" xfId="139" applyNumberFormat="1" applyFont="1" applyFill="1" applyBorder="1" applyAlignment="1">
      <alignment vertical="center" shrinkToFit="1"/>
      <protection/>
    </xf>
    <xf numFmtId="165" fontId="37" fillId="58" borderId="45" xfId="139" applyNumberFormat="1" applyFont="1" applyFill="1" applyBorder="1" applyAlignment="1">
      <alignment vertical="center" shrinkToFit="1"/>
      <protection/>
    </xf>
    <xf numFmtId="165" fontId="37" fillId="0" borderId="46" xfId="139" applyNumberFormat="1" applyFont="1" applyFill="1" applyBorder="1" applyAlignment="1">
      <alignment vertical="center" shrinkToFit="1"/>
      <protection/>
    </xf>
    <xf numFmtId="165" fontId="37" fillId="0" borderId="44" xfId="139" applyNumberFormat="1" applyFont="1" applyFill="1" applyBorder="1" applyAlignment="1">
      <alignment vertical="center" shrinkToFit="1"/>
      <protection/>
    </xf>
    <xf numFmtId="165" fontId="37" fillId="0" borderId="45" xfId="139" applyNumberFormat="1" applyFont="1" applyFill="1" applyBorder="1" applyAlignment="1">
      <alignment vertical="center" shrinkToFit="1"/>
      <protection/>
    </xf>
    <xf numFmtId="0" fontId="80" fillId="0" borderId="47" xfId="121" applyBorder="1" applyAlignment="1">
      <alignment horizontal="center" vertical="center"/>
      <protection/>
    </xf>
    <xf numFmtId="0" fontId="117" fillId="0" borderId="36" xfId="144" applyFont="1" applyBorder="1" applyAlignment="1">
      <alignment horizontal="left" vertical="center"/>
      <protection/>
    </xf>
    <xf numFmtId="0" fontId="118" fillId="0" borderId="37" xfId="121" applyFont="1" applyBorder="1" applyAlignment="1" applyProtection="1">
      <alignment horizontal="left" vertical="center"/>
      <protection locked="0"/>
    </xf>
    <xf numFmtId="0" fontId="117" fillId="0" borderId="38" xfId="144" applyFont="1" applyBorder="1" applyAlignment="1">
      <alignment vertical="center" wrapText="1"/>
      <protection/>
    </xf>
    <xf numFmtId="165" fontId="36" fillId="0" borderId="48" xfId="139" applyNumberFormat="1" applyFont="1" applyFill="1" applyBorder="1" applyAlignment="1">
      <alignment horizontal="center" vertical="center" shrinkToFit="1"/>
      <protection/>
    </xf>
    <xf numFmtId="0" fontId="118" fillId="0" borderId="42" xfId="144" applyFont="1" applyBorder="1" applyAlignment="1">
      <alignment horizontal="left" vertical="center"/>
      <protection/>
    </xf>
    <xf numFmtId="0" fontId="118" fillId="0" borderId="0" xfId="121" applyFont="1" applyBorder="1" applyAlignment="1" applyProtection="1">
      <alignment horizontal="left" vertical="center"/>
      <protection locked="0"/>
    </xf>
    <xf numFmtId="0" fontId="118" fillId="0" borderId="43" xfId="144" applyFont="1" applyBorder="1" applyAlignment="1">
      <alignment horizontal="left" vertical="center" wrapText="1" indent="1"/>
      <protection/>
    </xf>
    <xf numFmtId="165" fontId="37" fillId="58" borderId="42" xfId="139" applyNumberFormat="1" applyFont="1" applyFill="1" applyBorder="1" applyAlignment="1">
      <alignment horizontal="center" vertical="center" shrinkToFit="1"/>
      <protection/>
    </xf>
    <xf numFmtId="165" fontId="37" fillId="58" borderId="44" xfId="139" applyNumberFormat="1" applyFont="1" applyFill="1" applyBorder="1" applyAlignment="1">
      <alignment horizontal="center" vertical="center" shrinkToFit="1"/>
      <protection/>
    </xf>
    <xf numFmtId="165" fontId="37" fillId="58" borderId="45" xfId="139" applyNumberFormat="1" applyFont="1" applyFill="1" applyBorder="1" applyAlignment="1">
      <alignment horizontal="center" vertical="center" shrinkToFit="1"/>
      <protection/>
    </xf>
    <xf numFmtId="165" fontId="37" fillId="0" borderId="49" xfId="139" applyNumberFormat="1" applyFont="1" applyFill="1" applyBorder="1" applyAlignment="1">
      <alignment vertical="center" shrinkToFit="1"/>
      <protection/>
    </xf>
    <xf numFmtId="0" fontId="118" fillId="0" borderId="25" xfId="144" applyFont="1" applyBorder="1" applyAlignment="1">
      <alignment horizontal="left" vertical="center"/>
      <protection/>
    </xf>
    <xf numFmtId="0" fontId="118" fillId="0" borderId="26" xfId="144" applyFont="1" applyBorder="1" applyAlignment="1">
      <alignment horizontal="left" vertical="center" wrapText="1" indent="1"/>
      <protection/>
    </xf>
    <xf numFmtId="165" fontId="37" fillId="58" borderId="25" xfId="139" applyNumberFormat="1" applyFont="1" applyFill="1" applyBorder="1" applyAlignment="1">
      <alignment horizontal="center" vertical="center" shrinkToFit="1"/>
      <protection/>
    </xf>
    <xf numFmtId="165" fontId="37" fillId="58" borderId="28" xfId="139" applyNumberFormat="1" applyFont="1" applyFill="1" applyBorder="1" applyAlignment="1">
      <alignment horizontal="center" vertical="center" shrinkToFit="1"/>
      <protection/>
    </xf>
    <xf numFmtId="165" fontId="37" fillId="58" borderId="29" xfId="139" applyNumberFormat="1" applyFont="1" applyFill="1" applyBorder="1" applyAlignment="1">
      <alignment horizontal="center" vertical="center" shrinkToFit="1"/>
      <protection/>
    </xf>
    <xf numFmtId="10" fontId="37" fillId="0" borderId="30" xfId="151" applyNumberFormat="1" applyFont="1" applyFill="1" applyBorder="1" applyAlignment="1">
      <alignment vertical="center" shrinkToFit="1"/>
    </xf>
    <xf numFmtId="10" fontId="37" fillId="0" borderId="50" xfId="151" applyNumberFormat="1" applyFont="1" applyFill="1" applyBorder="1" applyAlignment="1">
      <alignment vertical="center" shrinkToFit="1"/>
    </xf>
    <xf numFmtId="0" fontId="118" fillId="0" borderId="51" xfId="144" applyFont="1" applyBorder="1" applyAlignment="1">
      <alignment horizontal="left" vertical="center"/>
      <protection/>
    </xf>
    <xf numFmtId="0" fontId="118" fillId="0" borderId="52" xfId="121" applyFont="1" applyBorder="1" applyAlignment="1" applyProtection="1">
      <alignment horizontal="left" vertical="center"/>
      <protection locked="0"/>
    </xf>
    <xf numFmtId="0" fontId="118" fillId="0" borderId="53" xfId="144" applyFont="1" applyBorder="1" applyAlignment="1">
      <alignment horizontal="left" vertical="center" wrapText="1" indent="1"/>
      <protection/>
    </xf>
    <xf numFmtId="165" fontId="37" fillId="58" borderId="51" xfId="139" applyNumberFormat="1" applyFont="1" applyFill="1" applyBorder="1" applyAlignment="1">
      <alignment horizontal="center" vertical="center" shrinkToFit="1"/>
      <protection/>
    </xf>
    <xf numFmtId="165" fontId="37" fillId="58" borderId="54" xfId="139" applyNumberFormat="1" applyFont="1" applyFill="1" applyBorder="1" applyAlignment="1">
      <alignment horizontal="center" vertical="center" shrinkToFit="1"/>
      <protection/>
    </xf>
    <xf numFmtId="165" fontId="37" fillId="58" borderId="55" xfId="139" applyNumberFormat="1" applyFont="1" applyFill="1" applyBorder="1" applyAlignment="1">
      <alignment horizontal="center" vertical="center" shrinkToFit="1"/>
      <protection/>
    </xf>
    <xf numFmtId="10" fontId="37" fillId="0" borderId="56" xfId="151" applyNumberFormat="1" applyFont="1" applyFill="1" applyBorder="1" applyAlignment="1">
      <alignment vertical="center" shrinkToFit="1"/>
    </xf>
    <xf numFmtId="10" fontId="37" fillId="0" borderId="57" xfId="151" applyNumberFormat="1" applyFont="1" applyFill="1" applyBorder="1" applyAlignment="1">
      <alignment vertical="center" shrinkToFit="1"/>
    </xf>
    <xf numFmtId="0" fontId="30" fillId="0" borderId="0" xfId="121" applyFont="1" applyBorder="1" applyAlignment="1" applyProtection="1">
      <alignment vertical="center"/>
      <protection locked="0"/>
    </xf>
    <xf numFmtId="0" fontId="4" fillId="0" borderId="0" xfId="121" applyFont="1" applyBorder="1" applyAlignment="1" applyProtection="1">
      <alignment vertical="center"/>
      <protection locked="0"/>
    </xf>
    <xf numFmtId="0" fontId="34" fillId="0" borderId="0" xfId="121" applyFont="1" applyBorder="1" applyAlignment="1" applyProtection="1">
      <alignment vertical="center"/>
      <protection locked="0"/>
    </xf>
    <xf numFmtId="0" fontId="119" fillId="0" borderId="0" xfId="121" applyFont="1" applyBorder="1" applyAlignment="1" applyProtection="1">
      <alignment vertical="center"/>
      <protection locked="0"/>
    </xf>
    <xf numFmtId="0" fontId="120" fillId="0" borderId="0" xfId="121" applyFont="1" applyBorder="1" applyAlignment="1" applyProtection="1">
      <alignment vertical="center" wrapText="1"/>
      <protection locked="0"/>
    </xf>
    <xf numFmtId="0" fontId="120" fillId="0" borderId="0" xfId="121" applyFont="1" applyBorder="1" applyAlignment="1" applyProtection="1">
      <alignment vertical="center"/>
      <protection locked="0"/>
    </xf>
    <xf numFmtId="0" fontId="39" fillId="0" borderId="0" xfId="121" applyFont="1" applyBorder="1" applyAlignment="1" applyProtection="1">
      <alignment horizontal="left" vertical="center"/>
      <protection locked="0"/>
    </xf>
    <xf numFmtId="0" fontId="120" fillId="0" borderId="0" xfId="121" applyFont="1" applyBorder="1" applyAlignment="1" applyProtection="1">
      <alignment horizontal="left" vertical="center" wrapText="1"/>
      <protection locked="0"/>
    </xf>
    <xf numFmtId="0" fontId="40" fillId="0" borderId="0" xfId="121" applyFont="1" applyFill="1" applyBorder="1" applyAlignment="1" applyProtection="1">
      <alignment horizontal="left" vertical="center"/>
      <protection locked="0"/>
    </xf>
    <xf numFmtId="0" fontId="40" fillId="60" borderId="0" xfId="121" applyFont="1" applyFill="1" applyBorder="1" applyAlignment="1" applyProtection="1">
      <alignment horizontal="left" vertical="center" wrapText="1"/>
      <protection locked="0"/>
    </xf>
    <xf numFmtId="0" fontId="40" fillId="61" borderId="0" xfId="121" applyFont="1" applyFill="1" applyBorder="1" applyAlignment="1" applyProtection="1">
      <alignment horizontal="left" vertical="center" wrapText="1"/>
      <protection locked="0"/>
    </xf>
    <xf numFmtId="0" fontId="40" fillId="59" borderId="0" xfId="121" applyFont="1" applyFill="1" applyBorder="1" applyAlignment="1" applyProtection="1">
      <alignment horizontal="left" vertical="center" wrapText="1"/>
      <protection locked="0"/>
    </xf>
    <xf numFmtId="0" fontId="40" fillId="0" borderId="52" xfId="121" applyFont="1" applyFill="1" applyBorder="1" applyAlignment="1" applyProtection="1">
      <alignment vertical="center"/>
      <protection locked="0"/>
    </xf>
    <xf numFmtId="0" fontId="41" fillId="0" borderId="52" xfId="121" applyFont="1" applyFill="1" applyBorder="1" applyAlignment="1" applyProtection="1">
      <alignment vertical="center"/>
      <protection locked="0"/>
    </xf>
    <xf numFmtId="0" fontId="121" fillId="0" borderId="58" xfId="142" applyFont="1" applyBorder="1" applyAlignment="1">
      <alignment vertical="center"/>
      <protection/>
    </xf>
    <xf numFmtId="0" fontId="75" fillId="0" borderId="20" xfId="142" applyFont="1" applyBorder="1" applyAlignment="1">
      <alignment vertical="center"/>
      <protection/>
    </xf>
    <xf numFmtId="0" fontId="40" fillId="60" borderId="21" xfId="121" applyFont="1" applyFill="1" applyBorder="1" applyAlignment="1">
      <alignment horizontal="left" vertical="center" wrapText="1"/>
      <protection/>
    </xf>
    <xf numFmtId="0" fontId="40" fillId="58" borderId="19" xfId="121" applyFont="1" applyFill="1" applyBorder="1" applyAlignment="1">
      <alignment horizontal="center" vertical="center" wrapText="1"/>
      <protection/>
    </xf>
    <xf numFmtId="0" fontId="40" fillId="58" borderId="22" xfId="121" applyFont="1" applyFill="1" applyBorder="1" applyAlignment="1">
      <alignment horizontal="center" vertical="center" wrapText="1"/>
      <protection/>
    </xf>
    <xf numFmtId="0" fontId="40" fillId="58" borderId="23" xfId="121" applyFont="1" applyFill="1" applyBorder="1" applyAlignment="1">
      <alignment horizontal="center" vertical="center" wrapText="1"/>
      <protection/>
    </xf>
    <xf numFmtId="0" fontId="30" fillId="0" borderId="24" xfId="121" applyFont="1" applyBorder="1" applyAlignment="1">
      <alignment horizontal="center" vertical="center"/>
      <protection/>
    </xf>
    <xf numFmtId="0" fontId="30" fillId="0" borderId="22" xfId="121" applyFont="1" applyBorder="1" applyAlignment="1">
      <alignment horizontal="center" vertical="center"/>
      <protection/>
    </xf>
    <xf numFmtId="0" fontId="30" fillId="0" borderId="23" xfId="121" applyFont="1" applyBorder="1" applyAlignment="1">
      <alignment horizontal="center" vertical="center"/>
      <protection/>
    </xf>
    <xf numFmtId="0" fontId="121" fillId="0" borderId="59" xfId="142" applyFont="1" applyBorder="1" applyAlignment="1">
      <alignment vertical="center"/>
      <protection/>
    </xf>
    <xf numFmtId="0" fontId="75" fillId="0" borderId="26" xfId="142" applyFont="1" applyBorder="1" applyAlignment="1">
      <alignment vertical="center"/>
      <protection/>
    </xf>
    <xf numFmtId="0" fontId="40" fillId="60" borderId="27" xfId="121" applyFont="1" applyFill="1" applyBorder="1" applyAlignment="1">
      <alignment horizontal="left" vertical="center" wrapText="1"/>
      <protection/>
    </xf>
    <xf numFmtId="0" fontId="40" fillId="58" borderId="25" xfId="121" applyFont="1" applyFill="1" applyBorder="1" applyAlignment="1">
      <alignment horizontal="center" vertical="center" wrapText="1"/>
      <protection/>
    </xf>
    <xf numFmtId="0" fontId="40" fillId="58" borderId="28" xfId="121" applyFont="1" applyFill="1" applyBorder="1" applyAlignment="1">
      <alignment horizontal="center" vertical="center" wrapText="1"/>
      <protection/>
    </xf>
    <xf numFmtId="0" fontId="40" fillId="58" borderId="29" xfId="121" applyFont="1" applyFill="1" applyBorder="1" applyAlignment="1">
      <alignment horizontal="center" vertical="center" wrapText="1"/>
      <protection/>
    </xf>
    <xf numFmtId="0" fontId="30" fillId="0" borderId="30" xfId="121" applyFont="1" applyBorder="1" applyAlignment="1">
      <alignment horizontal="center" vertical="center"/>
      <protection/>
    </xf>
    <xf numFmtId="0" fontId="30" fillId="0" borderId="28" xfId="121" applyFont="1" applyBorder="1" applyAlignment="1">
      <alignment horizontal="center" vertical="center"/>
      <protection/>
    </xf>
    <xf numFmtId="0" fontId="30" fillId="0" borderId="29" xfId="121" applyFont="1" applyBorder="1" applyAlignment="1">
      <alignment horizontal="center" vertical="center"/>
      <protection/>
    </xf>
    <xf numFmtId="0" fontId="40" fillId="61" borderId="27" xfId="121" applyFont="1" applyFill="1" applyBorder="1" applyAlignment="1">
      <alignment horizontal="left" vertical="center" wrapText="1"/>
      <protection/>
    </xf>
    <xf numFmtId="165" fontId="122" fillId="0" borderId="30" xfId="121" applyNumberFormat="1" applyFont="1" applyFill="1" applyBorder="1" applyAlignment="1">
      <alignment horizontal="center" vertical="center"/>
      <protection/>
    </xf>
    <xf numFmtId="165" fontId="122" fillId="0" borderId="28" xfId="121" applyNumberFormat="1" applyFont="1" applyFill="1" applyBorder="1" applyAlignment="1">
      <alignment horizontal="center" vertical="center"/>
      <protection/>
    </xf>
    <xf numFmtId="165" fontId="122" fillId="0" borderId="29" xfId="121" applyNumberFormat="1" applyFont="1" applyFill="1" applyBorder="1" applyAlignment="1">
      <alignment horizontal="center" vertical="center"/>
      <protection/>
    </xf>
    <xf numFmtId="0" fontId="123" fillId="0" borderId="59" xfId="142" applyFont="1" applyBorder="1" applyAlignment="1">
      <alignment vertical="center"/>
      <protection/>
    </xf>
    <xf numFmtId="0" fontId="77" fillId="0" borderId="26" xfId="142" applyFont="1" applyBorder="1" applyAlignment="1">
      <alignment vertical="center"/>
      <protection/>
    </xf>
    <xf numFmtId="0" fontId="40" fillId="58" borderId="25" xfId="121" applyFont="1" applyFill="1" applyBorder="1" applyAlignment="1">
      <alignment horizontal="center" vertical="center"/>
      <protection/>
    </xf>
    <xf numFmtId="0" fontId="40" fillId="59" borderId="27" xfId="121" applyFont="1" applyFill="1" applyBorder="1" applyAlignment="1">
      <alignment horizontal="left" vertical="center" wrapText="1"/>
      <protection/>
    </xf>
    <xf numFmtId="0" fontId="122" fillId="0" borderId="30" xfId="121" applyNumberFormat="1" applyFont="1" applyFill="1" applyBorder="1" applyAlignment="1">
      <alignment horizontal="center" vertical="center"/>
      <protection/>
    </xf>
    <xf numFmtId="0" fontId="122" fillId="0" borderId="28" xfId="121" applyNumberFormat="1" applyFont="1" applyFill="1" applyBorder="1" applyAlignment="1">
      <alignment horizontal="center" vertical="center"/>
      <protection/>
    </xf>
    <xf numFmtId="0" fontId="122" fillId="0" borderId="29" xfId="121" applyNumberFormat="1" applyFont="1" applyFill="1" applyBorder="1" applyAlignment="1">
      <alignment horizontal="center" vertical="center"/>
      <protection/>
    </xf>
    <xf numFmtId="0" fontId="121" fillId="0" borderId="60" xfId="142" applyFont="1" applyBorder="1" applyAlignment="1">
      <alignment vertical="center"/>
      <protection/>
    </xf>
    <xf numFmtId="0" fontId="75" fillId="0" borderId="53" xfId="142" applyFont="1" applyBorder="1" applyAlignment="1">
      <alignment vertical="center"/>
      <protection/>
    </xf>
    <xf numFmtId="0" fontId="40" fillId="59" borderId="61" xfId="121" applyFont="1" applyFill="1" applyBorder="1" applyAlignment="1">
      <alignment horizontal="left" vertical="center" wrapText="1"/>
      <protection/>
    </xf>
    <xf numFmtId="0" fontId="40" fillId="58" borderId="51" xfId="121" applyFont="1" applyFill="1" applyBorder="1" applyAlignment="1">
      <alignment horizontal="center" vertical="center" wrapText="1"/>
      <protection/>
    </xf>
    <xf numFmtId="0" fontId="40" fillId="58" borderId="54" xfId="121" applyFont="1" applyFill="1" applyBorder="1" applyAlignment="1">
      <alignment horizontal="center" vertical="center" wrapText="1"/>
      <protection/>
    </xf>
    <xf numFmtId="0" fontId="40" fillId="58" borderId="55" xfId="121" applyFont="1" applyFill="1" applyBorder="1" applyAlignment="1">
      <alignment horizontal="center" vertical="center" wrapText="1"/>
      <protection/>
    </xf>
    <xf numFmtId="0" fontId="30" fillId="0" borderId="56" xfId="121" applyFont="1" applyBorder="1" applyAlignment="1">
      <alignment horizontal="center" vertical="center"/>
      <protection/>
    </xf>
    <xf numFmtId="0" fontId="30" fillId="0" borderId="54" xfId="121" applyFont="1" applyBorder="1" applyAlignment="1">
      <alignment horizontal="center" vertical="center"/>
      <protection/>
    </xf>
    <xf numFmtId="0" fontId="30" fillId="0" borderId="55" xfId="121" applyFont="1" applyBorder="1" applyAlignment="1">
      <alignment horizontal="center" vertical="center"/>
      <protection/>
    </xf>
    <xf numFmtId="0" fontId="120" fillId="0" borderId="0" xfId="121" applyFont="1" applyBorder="1" applyAlignment="1">
      <alignment horizontal="center" vertical="center"/>
      <protection/>
    </xf>
    <xf numFmtId="0" fontId="120" fillId="0" borderId="0" xfId="121" applyFont="1" applyBorder="1" applyAlignment="1">
      <alignment vertical="center" wrapText="1"/>
      <protection/>
    </xf>
    <xf numFmtId="0" fontId="30" fillId="0" borderId="0" xfId="121" applyFont="1" applyBorder="1" applyAlignment="1">
      <alignment vertical="center"/>
      <protection/>
    </xf>
    <xf numFmtId="0" fontId="124" fillId="0" borderId="0" xfId="121" applyFont="1">
      <alignment/>
      <protection/>
    </xf>
    <xf numFmtId="0" fontId="124" fillId="0" borderId="0" xfId="121" applyFont="1" applyAlignment="1">
      <alignment/>
      <protection/>
    </xf>
    <xf numFmtId="0" fontId="37" fillId="10" borderId="58" xfId="121" applyFont="1" applyFill="1" applyBorder="1" applyAlignment="1">
      <alignment vertical="center"/>
      <protection/>
    </xf>
    <xf numFmtId="4" fontId="37" fillId="58" borderId="19" xfId="121" applyNumberFormat="1" applyFont="1" applyFill="1" applyBorder="1" applyAlignment="1">
      <alignment vertical="center"/>
      <protection/>
    </xf>
    <xf numFmtId="4" fontId="37" fillId="58" borderId="22" xfId="121" applyNumberFormat="1" applyFont="1" applyFill="1" applyBorder="1" applyAlignment="1">
      <alignment vertical="center"/>
      <protection/>
    </xf>
    <xf numFmtId="4" fontId="37" fillId="58" borderId="23" xfId="121" applyNumberFormat="1" applyFont="1" applyFill="1" applyBorder="1" applyAlignment="1">
      <alignment vertical="center"/>
      <protection/>
    </xf>
    <xf numFmtId="4" fontId="37" fillId="0" borderId="24" xfId="121" applyNumberFormat="1" applyFont="1" applyBorder="1" applyAlignment="1">
      <alignment vertical="center"/>
      <protection/>
    </xf>
    <xf numFmtId="4" fontId="37" fillId="0" borderId="22" xfId="121" applyNumberFormat="1" applyFont="1" applyBorder="1" applyAlignment="1">
      <alignment vertical="center"/>
      <protection/>
    </xf>
    <xf numFmtId="4" fontId="37" fillId="0" borderId="23" xfId="121" applyNumberFormat="1" applyFont="1" applyBorder="1" applyAlignment="1">
      <alignment vertical="center"/>
      <protection/>
    </xf>
    <xf numFmtId="0" fontId="37" fillId="10" borderId="59" xfId="121" applyFont="1" applyFill="1" applyBorder="1" applyAlignment="1">
      <alignment vertical="center"/>
      <protection/>
    </xf>
    <xf numFmtId="4" fontId="37" fillId="58" borderId="25" xfId="121" applyNumberFormat="1" applyFont="1" applyFill="1" applyBorder="1" applyAlignment="1">
      <alignment vertical="center"/>
      <protection/>
    </xf>
    <xf numFmtId="4" fontId="37" fillId="58" borderId="28" xfId="121" applyNumberFormat="1" applyFont="1" applyFill="1" applyBorder="1" applyAlignment="1">
      <alignment vertical="center"/>
      <protection/>
    </xf>
    <xf numFmtId="4" fontId="37" fillId="58" borderId="29" xfId="121" applyNumberFormat="1" applyFont="1" applyFill="1" applyBorder="1" applyAlignment="1">
      <alignment vertical="center"/>
      <protection/>
    </xf>
    <xf numFmtId="4" fontId="37" fillId="0" borderId="30" xfId="121" applyNumberFormat="1" applyFont="1" applyBorder="1" applyAlignment="1">
      <alignment vertical="center"/>
      <protection/>
    </xf>
    <xf numFmtId="4" fontId="37" fillId="0" borderId="28" xfId="121" applyNumberFormat="1" applyFont="1" applyBorder="1" applyAlignment="1">
      <alignment vertical="center"/>
      <protection/>
    </xf>
    <xf numFmtId="4" fontId="37" fillId="0" borderId="29" xfId="121" applyNumberFormat="1" applyFont="1" applyBorder="1" applyAlignment="1">
      <alignment vertical="center"/>
      <protection/>
    </xf>
    <xf numFmtId="0" fontId="42" fillId="10" borderId="59" xfId="121" applyFont="1" applyFill="1" applyBorder="1" applyAlignment="1">
      <alignment horizontal="left" vertical="center" wrapText="1"/>
      <protection/>
    </xf>
    <xf numFmtId="4" fontId="37" fillId="58" borderId="25" xfId="121" applyNumberFormat="1" applyFont="1" applyFill="1" applyBorder="1" applyAlignment="1">
      <alignment horizontal="center" vertical="center"/>
      <protection/>
    </xf>
    <xf numFmtId="4" fontId="37" fillId="58" borderId="28" xfId="121" applyNumberFormat="1" applyFont="1" applyFill="1" applyBorder="1" applyAlignment="1">
      <alignment horizontal="center" vertical="center"/>
      <protection/>
    </xf>
    <xf numFmtId="0" fontId="42" fillId="10" borderId="60" xfId="121" applyFont="1" applyFill="1" applyBorder="1" applyAlignment="1">
      <alignment horizontal="left" vertical="center" wrapText="1"/>
      <protection/>
    </xf>
    <xf numFmtId="4" fontId="37" fillId="58" borderId="51" xfId="121" applyNumberFormat="1" applyFont="1" applyFill="1" applyBorder="1" applyAlignment="1">
      <alignment horizontal="center" vertical="center"/>
      <protection/>
    </xf>
    <xf numFmtId="4" fontId="37" fillId="58" borderId="54" xfId="121" applyNumberFormat="1" applyFont="1" applyFill="1" applyBorder="1" applyAlignment="1">
      <alignment vertical="center"/>
      <protection/>
    </xf>
    <xf numFmtId="4" fontId="37" fillId="58" borderId="54" xfId="121" applyNumberFormat="1" applyFont="1" applyFill="1" applyBorder="1" applyAlignment="1">
      <alignment horizontal="center" vertical="center"/>
      <protection/>
    </xf>
    <xf numFmtId="4" fontId="37" fillId="58" borderId="55" xfId="121" applyNumberFormat="1" applyFont="1" applyFill="1" applyBorder="1" applyAlignment="1">
      <alignment vertical="center"/>
      <protection/>
    </xf>
    <xf numFmtId="4" fontId="37" fillId="0" borderId="56" xfId="121" applyNumberFormat="1" applyFont="1" applyBorder="1" applyAlignment="1">
      <alignment vertical="center"/>
      <protection/>
    </xf>
    <xf numFmtId="4" fontId="37" fillId="0" borderId="54" xfId="121" applyNumberFormat="1" applyFont="1" applyBorder="1" applyAlignment="1">
      <alignment vertical="center"/>
      <protection/>
    </xf>
    <xf numFmtId="4" fontId="37" fillId="0" borderId="55" xfId="121" applyNumberFormat="1" applyFont="1" applyBorder="1" applyAlignment="1">
      <alignment vertical="center"/>
      <protection/>
    </xf>
    <xf numFmtId="0" fontId="30" fillId="0" borderId="0" xfId="121" applyFont="1" applyFill="1">
      <alignment/>
      <protection/>
    </xf>
    <xf numFmtId="0" fontId="35" fillId="0" borderId="0" xfId="121" applyFont="1">
      <alignment/>
      <protection/>
    </xf>
    <xf numFmtId="0" fontId="4" fillId="0" borderId="0" xfId="121" applyFont="1" applyFill="1">
      <alignment/>
      <protection/>
    </xf>
    <xf numFmtId="0" fontId="33" fillId="0" borderId="0" xfId="121" applyFont="1">
      <alignment/>
      <protection/>
    </xf>
    <xf numFmtId="0" fontId="31" fillId="0" borderId="0" xfId="121" applyFont="1" applyFill="1">
      <alignment/>
      <protection/>
    </xf>
    <xf numFmtId="167" fontId="34" fillId="62" borderId="0" xfId="151" applyNumberFormat="1" applyFont="1" applyFill="1" applyAlignment="1">
      <alignment vertical="center"/>
    </xf>
    <xf numFmtId="0" fontId="43" fillId="0" borderId="0" xfId="121" applyFont="1" applyAlignment="1">
      <alignment vertical="center"/>
      <protection/>
    </xf>
    <xf numFmtId="167" fontId="34" fillId="0" borderId="0" xfId="151" applyNumberFormat="1" applyFont="1" applyFill="1" applyAlignment="1">
      <alignment vertical="center"/>
    </xf>
    <xf numFmtId="0" fontId="30" fillId="0" borderId="0" xfId="121" applyFont="1" applyAlignment="1">
      <alignment vertical="center"/>
      <protection/>
    </xf>
    <xf numFmtId="167" fontId="34" fillId="61" borderId="0" xfId="151" applyNumberFormat="1" applyFont="1" applyFill="1" applyAlignment="1">
      <alignment vertical="center"/>
    </xf>
    <xf numFmtId="167" fontId="34" fillId="59" borderId="0" xfId="151" applyNumberFormat="1" applyFont="1" applyFill="1" applyAlignment="1">
      <alignment vertical="center"/>
    </xf>
    <xf numFmtId="0" fontId="37" fillId="0" borderId="62" xfId="121" applyFont="1" applyBorder="1">
      <alignment/>
      <protection/>
    </xf>
    <xf numFmtId="10" fontId="37" fillId="58" borderId="19" xfId="121" applyNumberFormat="1" applyFont="1" applyFill="1" applyBorder="1" applyAlignment="1">
      <alignment horizontal="center" vertical="center"/>
      <protection/>
    </xf>
    <xf numFmtId="10" fontId="37" fillId="58" borderId="22" xfId="121" applyNumberFormat="1" applyFont="1" applyFill="1" applyBorder="1" applyAlignment="1">
      <alignment horizontal="center" vertical="center"/>
      <protection/>
    </xf>
    <xf numFmtId="10" fontId="37" fillId="58" borderId="23" xfId="121" applyNumberFormat="1" applyFont="1" applyFill="1" applyBorder="1" applyAlignment="1">
      <alignment horizontal="center" vertical="center"/>
      <protection/>
    </xf>
    <xf numFmtId="10" fontId="37" fillId="0" borderId="24" xfId="121" applyNumberFormat="1" applyFont="1" applyFill="1" applyBorder="1" applyAlignment="1">
      <alignment vertical="center"/>
      <protection/>
    </xf>
    <xf numFmtId="10" fontId="37" fillId="0" borderId="22" xfId="121" applyNumberFormat="1" applyFont="1" applyFill="1" applyBorder="1" applyAlignment="1">
      <alignment vertical="center"/>
      <protection/>
    </xf>
    <xf numFmtId="10" fontId="37" fillId="0" borderId="23" xfId="121" applyNumberFormat="1" applyFont="1" applyFill="1" applyBorder="1" applyAlignment="1">
      <alignment vertical="center"/>
      <protection/>
    </xf>
    <xf numFmtId="0" fontId="37" fillId="0" borderId="63" xfId="121" applyFont="1" applyBorder="1">
      <alignment/>
      <protection/>
    </xf>
    <xf numFmtId="10" fontId="37" fillId="58" borderId="51" xfId="121" applyNumberFormat="1" applyFont="1" applyFill="1" applyBorder="1" applyAlignment="1">
      <alignment horizontal="center" vertical="center"/>
      <protection/>
    </xf>
    <xf numFmtId="10" fontId="37" fillId="58" borderId="54" xfId="121" applyNumberFormat="1" applyFont="1" applyFill="1" applyBorder="1" applyAlignment="1">
      <alignment horizontal="center" vertical="center"/>
      <protection/>
    </xf>
    <xf numFmtId="10" fontId="37" fillId="58" borderId="55" xfId="121" applyNumberFormat="1" applyFont="1" applyFill="1" applyBorder="1" applyAlignment="1">
      <alignment horizontal="center" vertical="center"/>
      <protection/>
    </xf>
    <xf numFmtId="10" fontId="37" fillId="0" borderId="56" xfId="121" applyNumberFormat="1" applyFont="1" applyFill="1" applyBorder="1" applyAlignment="1">
      <alignment vertical="center"/>
      <protection/>
    </xf>
    <xf numFmtId="10" fontId="37" fillId="0" borderId="54" xfId="121" applyNumberFormat="1" applyFont="1" applyFill="1" applyBorder="1" applyAlignment="1">
      <alignment vertical="center"/>
      <protection/>
    </xf>
    <xf numFmtId="10" fontId="37" fillId="0" borderId="55" xfId="121" applyNumberFormat="1" applyFont="1" applyFill="1" applyBorder="1" applyAlignment="1">
      <alignment vertical="center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5" xfId="128" applyFont="1" applyFill="1" applyBorder="1" applyAlignment="1">
      <alignment horizontal="center" vertical="center" wrapText="1"/>
      <protection/>
    </xf>
    <xf numFmtId="0" fontId="45" fillId="46" borderId="66" xfId="128" applyFont="1" applyFill="1" applyBorder="1" applyAlignment="1">
      <alignment horizontal="center" vertical="center" wrapText="1"/>
      <protection/>
    </xf>
    <xf numFmtId="0" fontId="46" fillId="0" borderId="67" xfId="128" applyFont="1" applyBorder="1" applyAlignment="1">
      <alignment horizontal="center" vertical="center"/>
      <protection/>
    </xf>
    <xf numFmtId="0" fontId="46" fillId="0" borderId="68" xfId="128" applyFont="1" applyBorder="1" applyAlignment="1">
      <alignment horizontal="center" vertical="center"/>
      <protection/>
    </xf>
    <xf numFmtId="0" fontId="46" fillId="0" borderId="69" xfId="128" applyFont="1" applyBorder="1" applyAlignment="1">
      <alignment horizontal="center" vertical="center"/>
      <protection/>
    </xf>
    <xf numFmtId="0" fontId="46" fillId="0" borderId="70" xfId="128" applyFont="1" applyBorder="1" applyAlignment="1">
      <alignment horizontal="center" vertical="center"/>
      <protection/>
    </xf>
    <xf numFmtId="0" fontId="45" fillId="56" borderId="71" xfId="128" applyFont="1" applyFill="1" applyBorder="1" applyAlignment="1">
      <alignment vertical="top"/>
      <protection/>
    </xf>
    <xf numFmtId="164" fontId="45" fillId="56" borderId="66" xfId="99" applyNumberFormat="1" applyFont="1" applyFill="1" applyBorder="1" applyAlignment="1">
      <alignment vertical="center"/>
    </xf>
    <xf numFmtId="164" fontId="45" fillId="56" borderId="72" xfId="99" applyNumberFormat="1" applyFont="1" applyFill="1" applyBorder="1" applyAlignment="1">
      <alignment vertical="center"/>
    </xf>
    <xf numFmtId="0" fontId="45" fillId="0" borderId="71" xfId="128" applyFont="1" applyFill="1" applyBorder="1" applyAlignment="1">
      <alignment vertical="top"/>
      <protection/>
    </xf>
    <xf numFmtId="164" fontId="45" fillId="0" borderId="66" xfId="99" applyNumberFormat="1" applyFont="1" applyFill="1" applyBorder="1" applyAlignment="1">
      <alignment vertical="center"/>
    </xf>
    <xf numFmtId="164" fontId="45" fillId="0" borderId="72" xfId="99" applyNumberFormat="1" applyFont="1" applyFill="1" applyBorder="1" applyAlignment="1">
      <alignment vertical="center"/>
    </xf>
    <xf numFmtId="0" fontId="45" fillId="0" borderId="73" xfId="128" applyFont="1" applyFill="1" applyBorder="1" applyAlignment="1">
      <alignment vertical="top"/>
      <protection/>
    </xf>
    <xf numFmtId="164" fontId="45" fillId="0" borderId="65" xfId="99" applyNumberFormat="1" applyFont="1" applyFill="1" applyBorder="1" applyAlignment="1">
      <alignment vertical="center"/>
    </xf>
    <xf numFmtId="164" fontId="45" fillId="0" borderId="74" xfId="99" applyNumberFormat="1" applyFont="1" applyFill="1" applyBorder="1" applyAlignment="1">
      <alignment vertical="center"/>
    </xf>
    <xf numFmtId="0" fontId="45" fillId="55" borderId="75" xfId="128" applyFont="1" applyFill="1" applyBorder="1" applyAlignment="1">
      <alignment vertical="top"/>
      <protection/>
    </xf>
    <xf numFmtId="164" fontId="45" fillId="55" borderId="76" xfId="99" applyNumberFormat="1" applyFont="1" applyFill="1" applyBorder="1" applyAlignment="1">
      <alignment vertical="center"/>
    </xf>
    <xf numFmtId="164" fontId="45" fillId="55" borderId="77" xfId="99" applyNumberFormat="1" applyFont="1" applyFill="1" applyBorder="1" applyAlignment="1">
      <alignment vertical="center"/>
    </xf>
    <xf numFmtId="0" fontId="45" fillId="55" borderId="78" xfId="128" applyFont="1" applyFill="1" applyBorder="1" applyAlignment="1">
      <alignment vertical="top"/>
      <protection/>
    </xf>
    <xf numFmtId="164" fontId="45" fillId="55" borderId="79" xfId="99" applyNumberFormat="1" applyFont="1" applyFill="1" applyBorder="1" applyAlignment="1">
      <alignment vertical="center"/>
    </xf>
    <xf numFmtId="164" fontId="45" fillId="55" borderId="80" xfId="99" applyNumberFormat="1" applyFont="1" applyFill="1" applyBorder="1" applyAlignment="1">
      <alignment vertical="center"/>
    </xf>
    <xf numFmtId="0" fontId="45" fillId="0" borderId="81" xfId="128" applyFont="1" applyFill="1" applyBorder="1" applyAlignment="1">
      <alignment horizontal="center" vertical="top"/>
      <protection/>
    </xf>
    <xf numFmtId="0" fontId="49" fillId="0" borderId="81" xfId="128" applyFont="1" applyFill="1" applyBorder="1" applyAlignment="1">
      <alignment vertical="top" wrapText="1"/>
      <protection/>
    </xf>
    <xf numFmtId="0" fontId="49" fillId="0" borderId="82" xfId="128" applyFont="1" applyFill="1" applyBorder="1" applyAlignment="1">
      <alignment horizontal="center" vertical="center" wrapText="1"/>
      <protection/>
    </xf>
    <xf numFmtId="0" fontId="49" fillId="0" borderId="82" xfId="128" applyFont="1" applyFill="1" applyBorder="1" applyAlignment="1">
      <alignment horizontal="center" vertical="center"/>
      <protection/>
    </xf>
    <xf numFmtId="164" fontId="49" fillId="0" borderId="82" xfId="99" applyNumberFormat="1" applyFont="1" applyFill="1" applyBorder="1" applyAlignment="1">
      <alignment horizontal="center" vertical="center"/>
    </xf>
    <xf numFmtId="164" fontId="50" fillId="0" borderId="82" xfId="99" applyNumberFormat="1" applyFont="1" applyFill="1" applyBorder="1" applyAlignment="1">
      <alignment horizontal="center" vertical="center"/>
    </xf>
    <xf numFmtId="164" fontId="45" fillId="0" borderId="82" xfId="99" applyNumberFormat="1" applyFont="1" applyFill="1" applyBorder="1" applyAlignment="1">
      <alignment horizontal="center" vertical="center"/>
    </xf>
    <xf numFmtId="164" fontId="51" fillId="0" borderId="74" xfId="99" applyNumberFormat="1" applyFont="1" applyFill="1" applyBorder="1" applyAlignment="1">
      <alignment horizontal="center" vertical="center"/>
    </xf>
    <xf numFmtId="0" fontId="45" fillId="0" borderId="73" xfId="128" applyFont="1" applyFill="1" applyBorder="1" applyAlignment="1">
      <alignment horizontal="center" vertical="top"/>
      <protection/>
    </xf>
    <xf numFmtId="0" fontId="49" fillId="0" borderId="83" xfId="128" applyFont="1" applyFill="1" applyBorder="1" applyAlignment="1">
      <alignment vertical="top" wrapText="1"/>
      <protection/>
    </xf>
    <xf numFmtId="0" fontId="49" fillId="0" borderId="65" xfId="128" applyFont="1" applyFill="1" applyBorder="1" applyAlignment="1">
      <alignment horizontal="center" vertical="center" wrapText="1"/>
      <protection/>
    </xf>
    <xf numFmtId="0" fontId="49" fillId="0" borderId="65" xfId="128" applyFont="1" applyFill="1" applyBorder="1" applyAlignment="1">
      <alignment horizontal="center" vertical="center"/>
      <protection/>
    </xf>
    <xf numFmtId="164" fontId="49" fillId="0" borderId="65" xfId="99" applyNumberFormat="1" applyFont="1" applyFill="1" applyBorder="1" applyAlignment="1">
      <alignment vertical="center"/>
    </xf>
    <xf numFmtId="164" fontId="51" fillId="0" borderId="65" xfId="99" applyNumberFormat="1" applyFont="1" applyFill="1" applyBorder="1" applyAlignment="1">
      <alignment vertical="center"/>
    </xf>
    <xf numFmtId="164" fontId="49" fillId="0" borderId="65" xfId="99" applyNumberFormat="1" applyFont="1" applyFill="1" applyBorder="1" applyAlignment="1">
      <alignment horizontal="center" vertical="center"/>
    </xf>
    <xf numFmtId="0" fontId="45" fillId="55" borderId="75" xfId="128" applyFont="1" applyFill="1" applyBorder="1" applyAlignment="1">
      <alignment horizontal="center" vertical="top"/>
      <protection/>
    </xf>
    <xf numFmtId="0" fontId="49" fillId="55" borderId="84" xfId="128" applyFont="1" applyFill="1" applyBorder="1" applyAlignment="1">
      <alignment vertical="top" wrapText="1"/>
      <protection/>
    </xf>
    <xf numFmtId="0" fontId="49" fillId="55" borderId="66" xfId="128" applyFont="1" applyFill="1" applyBorder="1" applyAlignment="1">
      <alignment horizontal="center" vertical="center" wrapText="1"/>
      <protection/>
    </xf>
    <xf numFmtId="0" fontId="49" fillId="55" borderId="66" xfId="128" applyFont="1" applyFill="1" applyBorder="1" applyAlignment="1">
      <alignment horizontal="center" vertical="center"/>
      <protection/>
    </xf>
    <xf numFmtId="164" fontId="49" fillId="63" borderId="66" xfId="99" applyNumberFormat="1" applyFont="1" applyFill="1" applyBorder="1" applyAlignment="1">
      <alignment vertical="center"/>
    </xf>
    <xf numFmtId="164" fontId="51" fillId="63" borderId="66" xfId="99" applyNumberFormat="1" applyFont="1" applyFill="1" applyBorder="1" applyAlignment="1">
      <alignment horizontal="center" vertical="center"/>
    </xf>
    <xf numFmtId="164" fontId="49" fillId="63" borderId="66" xfId="99" applyNumberFormat="1" applyFont="1" applyFill="1" applyBorder="1" applyAlignment="1">
      <alignment horizontal="center" vertical="center"/>
    </xf>
    <xf numFmtId="164" fontId="51" fillId="63" borderId="66" xfId="99" applyNumberFormat="1" applyFont="1" applyFill="1" applyBorder="1" applyAlignment="1">
      <alignment vertical="center"/>
    </xf>
    <xf numFmtId="0" fontId="49" fillId="55" borderId="83" xfId="128" applyFont="1" applyFill="1" applyBorder="1" applyAlignment="1">
      <alignment vertical="center" wrapText="1"/>
      <protection/>
    </xf>
    <xf numFmtId="0" fontId="49" fillId="55" borderId="65" xfId="128" applyFont="1" applyFill="1" applyBorder="1" applyAlignment="1">
      <alignment horizontal="center" vertical="center" wrapText="1"/>
      <protection/>
    </xf>
    <xf numFmtId="0" fontId="49" fillId="55" borderId="65" xfId="128" applyFont="1" applyFill="1" applyBorder="1" applyAlignment="1">
      <alignment horizontal="center" vertical="center"/>
      <protection/>
    </xf>
    <xf numFmtId="164" fontId="49" fillId="63" borderId="65" xfId="99" applyNumberFormat="1" applyFont="1" applyFill="1" applyBorder="1" applyAlignment="1">
      <alignment vertical="center"/>
    </xf>
    <xf numFmtId="164" fontId="51" fillId="63" borderId="65" xfId="99" applyNumberFormat="1" applyFont="1" applyFill="1" applyBorder="1" applyAlignment="1">
      <alignment horizontal="center" vertical="center"/>
    </xf>
    <xf numFmtId="164" fontId="49" fillId="63" borderId="65" xfId="99" applyNumberFormat="1" applyFont="1" applyFill="1" applyBorder="1" applyAlignment="1">
      <alignment horizontal="center" vertical="center"/>
    </xf>
    <xf numFmtId="164" fontId="49" fillId="63" borderId="64" xfId="99" applyNumberFormat="1" applyFont="1" applyFill="1" applyBorder="1" applyAlignment="1">
      <alignment horizontal="center" vertical="center"/>
    </xf>
    <xf numFmtId="164" fontId="50" fillId="55" borderId="76" xfId="99" applyNumberFormat="1" applyFont="1" applyFill="1" applyBorder="1" applyAlignment="1">
      <alignment vertical="center"/>
    </xf>
    <xf numFmtId="164" fontId="50" fillId="55" borderId="77" xfId="99" applyNumberFormat="1" applyFont="1" applyFill="1" applyBorder="1" applyAlignment="1">
      <alignment vertical="center"/>
    </xf>
    <xf numFmtId="0" fontId="45" fillId="55" borderId="85" xfId="128" applyFont="1" applyFill="1" applyBorder="1" applyAlignment="1">
      <alignment vertical="top"/>
      <protection/>
    </xf>
    <xf numFmtId="164" fontId="50" fillId="55" borderId="64" xfId="99" applyNumberFormat="1" applyFont="1" applyFill="1" applyBorder="1" applyAlignment="1">
      <alignment vertical="center"/>
    </xf>
    <xf numFmtId="164" fontId="50" fillId="55" borderId="86" xfId="99" applyNumberFormat="1" applyFont="1" applyFill="1" applyBorder="1" applyAlignment="1">
      <alignment vertical="center"/>
    </xf>
    <xf numFmtId="164" fontId="50" fillId="55" borderId="79" xfId="99" applyNumberFormat="1" applyFont="1" applyFill="1" applyBorder="1" applyAlignment="1">
      <alignment vertical="center"/>
    </xf>
    <xf numFmtId="164" fontId="50" fillId="55" borderId="80" xfId="99" applyNumberFormat="1" applyFont="1" applyFill="1" applyBorder="1" applyAlignment="1">
      <alignment vertical="center"/>
    </xf>
    <xf numFmtId="0" fontId="45" fillId="55" borderId="87" xfId="128" applyFont="1" applyFill="1" applyBorder="1" applyAlignment="1">
      <alignment vertical="top"/>
      <protection/>
    </xf>
    <xf numFmtId="164" fontId="50" fillId="55" borderId="88" xfId="99" applyNumberFormat="1" applyFont="1" applyFill="1" applyBorder="1" applyAlignment="1">
      <alignment vertical="center"/>
    </xf>
    <xf numFmtId="0" fontId="50" fillId="55" borderId="71" xfId="128" applyFont="1" applyFill="1" applyBorder="1" applyAlignment="1">
      <alignment vertical="top"/>
      <protection/>
    </xf>
    <xf numFmtId="164" fontId="50" fillId="55" borderId="63" xfId="99" applyNumberFormat="1" applyFont="1" applyFill="1" applyBorder="1" applyAlignment="1">
      <alignment vertical="center"/>
    </xf>
    <xf numFmtId="164" fontId="50" fillId="55" borderId="89" xfId="99" applyNumberFormat="1" applyFont="1" applyFill="1" applyBorder="1" applyAlignment="1">
      <alignment vertical="center"/>
    </xf>
    <xf numFmtId="0" fontId="45" fillId="55" borderId="71" xfId="128" applyFont="1" applyFill="1" applyBorder="1" applyAlignment="1">
      <alignment vertical="top"/>
      <protection/>
    </xf>
    <xf numFmtId="164" fontId="50" fillId="55" borderId="62" xfId="99" applyNumberFormat="1" applyFont="1" applyFill="1" applyBorder="1" applyAlignment="1">
      <alignment vertical="center"/>
    </xf>
    <xf numFmtId="164" fontId="50" fillId="55" borderId="65" xfId="99" applyNumberFormat="1" applyFont="1" applyFill="1" applyBorder="1" applyAlignment="1">
      <alignment vertical="center"/>
    </xf>
    <xf numFmtId="0" fontId="50" fillId="55" borderId="73" xfId="128" applyFont="1" applyFill="1" applyBorder="1" applyAlignment="1">
      <alignment vertical="top"/>
      <protection/>
    </xf>
    <xf numFmtId="164" fontId="50" fillId="55" borderId="90" xfId="99" applyNumberFormat="1" applyFont="1" applyFill="1" applyBorder="1" applyAlignment="1">
      <alignment vertical="center"/>
    </xf>
    <xf numFmtId="0" fontId="47" fillId="55" borderId="75" xfId="128" applyFont="1" applyFill="1" applyBorder="1" applyAlignment="1">
      <alignment vertical="top"/>
      <protection/>
    </xf>
    <xf numFmtId="164" fontId="47" fillId="55" borderId="76" xfId="99" applyNumberFormat="1" applyFont="1" applyFill="1" applyBorder="1" applyAlignment="1">
      <alignment vertical="center"/>
    </xf>
    <xf numFmtId="164" fontId="47" fillId="55" borderId="91" xfId="99" applyNumberFormat="1" applyFont="1" applyFill="1" applyBorder="1" applyAlignment="1">
      <alignment vertical="center"/>
    </xf>
    <xf numFmtId="164" fontId="47" fillId="55" borderId="92" xfId="99" applyNumberFormat="1" applyFont="1" applyFill="1" applyBorder="1" applyAlignment="1">
      <alignment vertical="center"/>
    </xf>
    <xf numFmtId="0" fontId="47" fillId="55" borderId="78" xfId="128" applyFont="1" applyFill="1" applyBorder="1" applyAlignment="1">
      <alignment vertical="top"/>
      <protection/>
    </xf>
    <xf numFmtId="164" fontId="51" fillId="0" borderId="77" xfId="99" applyNumberFormat="1" applyFont="1" applyFill="1" applyBorder="1" applyAlignment="1">
      <alignment horizontal="center" vertical="center"/>
    </xf>
    <xf numFmtId="0" fontId="45" fillId="0" borderId="87" xfId="128" applyFont="1" applyFill="1" applyBorder="1" applyAlignment="1">
      <alignment vertical="top" wrapText="1"/>
      <protection/>
    </xf>
    <xf numFmtId="164" fontId="45" fillId="0" borderId="89" xfId="99" applyNumberFormat="1" applyFont="1" applyFill="1" applyBorder="1" applyAlignment="1">
      <alignment vertical="center"/>
    </xf>
    <xf numFmtId="164" fontId="50" fillId="0" borderId="89" xfId="99" applyNumberFormat="1" applyFont="1" applyFill="1" applyBorder="1" applyAlignment="1">
      <alignment vertical="center"/>
    </xf>
    <xf numFmtId="164" fontId="50" fillId="0" borderId="93" xfId="99" applyNumberFormat="1" applyFont="1" applyFill="1" applyBorder="1" applyAlignment="1">
      <alignment vertical="center"/>
    </xf>
    <xf numFmtId="164" fontId="51" fillId="0" borderId="86" xfId="99" applyNumberFormat="1" applyFont="1" applyFill="1" applyBorder="1" applyAlignment="1">
      <alignment horizontal="center" vertical="center"/>
    </xf>
    <xf numFmtId="0" fontId="50" fillId="0" borderId="71" xfId="128" applyFont="1" applyFill="1" applyBorder="1" applyAlignment="1">
      <alignment vertical="top"/>
      <protection/>
    </xf>
    <xf numFmtId="164" fontId="50" fillId="0" borderId="66" xfId="99" applyNumberFormat="1" applyFont="1" applyFill="1" applyBorder="1" applyAlignment="1">
      <alignment vertical="center"/>
    </xf>
    <xf numFmtId="0" fontId="50" fillId="0" borderId="94" xfId="128" applyFont="1" applyFill="1" applyBorder="1" applyAlignment="1">
      <alignment vertical="top"/>
      <protection/>
    </xf>
    <xf numFmtId="164" fontId="50" fillId="0" borderId="95" xfId="99" applyNumberFormat="1" applyFont="1" applyFill="1" applyBorder="1" applyAlignment="1">
      <alignment vertical="center"/>
    </xf>
    <xf numFmtId="164" fontId="50" fillId="0" borderId="96" xfId="99" applyNumberFormat="1" applyFont="1" applyFill="1" applyBorder="1" applyAlignment="1">
      <alignment vertical="center"/>
    </xf>
    <xf numFmtId="0" fontId="45" fillId="0" borderId="67" xfId="128" applyFont="1" applyFill="1" applyBorder="1" applyAlignment="1">
      <alignment vertical="top" wrapText="1"/>
      <protection/>
    </xf>
    <xf numFmtId="164" fontId="45" fillId="0" borderId="69" xfId="99" applyNumberFormat="1" applyFont="1" applyFill="1" applyBorder="1" applyAlignment="1">
      <alignment vertical="center"/>
    </xf>
    <xf numFmtId="164" fontId="50" fillId="0" borderId="69" xfId="99" applyNumberFormat="1" applyFont="1" applyFill="1" applyBorder="1" applyAlignment="1">
      <alignment vertical="center"/>
    </xf>
    <xf numFmtId="164" fontId="50" fillId="0" borderId="97" xfId="99" applyNumberFormat="1" applyFont="1" applyFill="1" applyBorder="1" applyAlignment="1">
      <alignment vertical="center"/>
    </xf>
    <xf numFmtId="0" fontId="49" fillId="55" borderId="73" xfId="128" applyFont="1" applyFill="1" applyBorder="1" applyAlignment="1">
      <alignment horizontal="center" vertical="top"/>
      <protection/>
    </xf>
    <xf numFmtId="0" fontId="49" fillId="55" borderId="81" xfId="128" applyFont="1" applyFill="1" applyBorder="1" applyAlignment="1">
      <alignment vertical="top" wrapText="1"/>
      <protection/>
    </xf>
    <xf numFmtId="0" fontId="49" fillId="55" borderId="82" xfId="128" applyFont="1" applyFill="1" applyBorder="1" applyAlignment="1">
      <alignment horizontal="center" vertical="center"/>
      <protection/>
    </xf>
    <xf numFmtId="164" fontId="49" fillId="63" borderId="82" xfId="99" applyNumberFormat="1" applyFont="1" applyFill="1" applyBorder="1" applyAlignment="1">
      <alignment vertical="center"/>
    </xf>
    <xf numFmtId="0" fontId="49" fillId="55" borderId="71" xfId="128" applyFont="1" applyFill="1" applyBorder="1" applyAlignment="1">
      <alignment horizontal="center" vertical="top"/>
      <protection/>
    </xf>
    <xf numFmtId="164" fontId="51" fillId="0" borderId="72" xfId="99" applyNumberFormat="1" applyFont="1" applyFill="1" applyBorder="1" applyAlignment="1">
      <alignment horizontal="center" vertical="center"/>
    </xf>
    <xf numFmtId="0" fontId="49" fillId="55" borderId="94" xfId="128" applyFont="1" applyFill="1" applyBorder="1" applyAlignment="1">
      <alignment horizontal="center" vertical="top"/>
      <protection/>
    </xf>
    <xf numFmtId="0" fontId="49" fillId="55" borderId="98" xfId="128" applyFont="1" applyFill="1" applyBorder="1" applyAlignment="1">
      <alignment vertical="top" wrapText="1"/>
      <protection/>
    </xf>
    <xf numFmtId="0" fontId="49" fillId="55" borderId="95" xfId="128" applyFont="1" applyFill="1" applyBorder="1" applyAlignment="1">
      <alignment horizontal="center" vertical="center" wrapText="1"/>
      <protection/>
    </xf>
    <xf numFmtId="0" fontId="49" fillId="55" borderId="95" xfId="128" applyFont="1" applyFill="1" applyBorder="1" applyAlignment="1">
      <alignment horizontal="center" vertical="center"/>
      <protection/>
    </xf>
    <xf numFmtId="164" fontId="49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horizontal="center" vertical="center"/>
    </xf>
    <xf numFmtId="164" fontId="51" fillId="0" borderId="99" xfId="99" applyNumberFormat="1" applyFont="1" applyFill="1" applyBorder="1" applyAlignment="1">
      <alignment horizontal="center" vertical="center"/>
    </xf>
    <xf numFmtId="49" fontId="33" fillId="0" borderId="0" xfId="121" applyNumberFormat="1" applyFont="1" applyAlignment="1" applyProtection="1">
      <alignment vertical="center"/>
      <protection locked="0"/>
    </xf>
    <xf numFmtId="49" fontId="33" fillId="15" borderId="0" xfId="121" applyNumberFormat="1" applyFont="1" applyFill="1" applyAlignment="1" applyProtection="1">
      <alignment vertical="center"/>
      <protection locked="0"/>
    </xf>
    <xf numFmtId="0" fontId="52" fillId="0" borderId="0" xfId="121" applyFont="1" applyBorder="1" applyAlignment="1" applyProtection="1">
      <alignment horizontal="center" vertical="center"/>
      <protection locked="0"/>
    </xf>
    <xf numFmtId="0" fontId="53" fillId="0" borderId="0" xfId="121" applyFont="1" applyBorder="1" applyAlignment="1" applyProtection="1">
      <alignment horizontal="center" vertical="center"/>
      <protection locked="0"/>
    </xf>
    <xf numFmtId="0" fontId="44" fillId="0" borderId="0" xfId="121" applyFont="1" applyAlignment="1" applyProtection="1">
      <alignment horizontal="right"/>
      <protection locked="0"/>
    </xf>
    <xf numFmtId="0" fontId="28" fillId="0" borderId="0" xfId="128" applyFont="1" applyFill="1" applyAlignment="1">
      <alignment horizontal="left" vertical="center"/>
      <protection/>
    </xf>
    <xf numFmtId="0" fontId="45" fillId="0" borderId="81" xfId="128" applyFont="1" applyFill="1" applyBorder="1" applyAlignment="1">
      <alignment horizontal="center" vertical="top"/>
      <protection/>
    </xf>
    <xf numFmtId="0" fontId="45" fillId="0" borderId="85" xfId="128" applyFont="1" applyFill="1" applyBorder="1" applyAlignment="1">
      <alignment horizontal="center" vertical="top"/>
      <protection/>
    </xf>
    <xf numFmtId="0" fontId="45" fillId="0" borderId="82" xfId="128" applyFont="1" applyFill="1" applyBorder="1" applyAlignment="1">
      <alignment horizontal="center" vertical="center" wrapText="1"/>
      <protection/>
    </xf>
    <xf numFmtId="0" fontId="45" fillId="0" borderId="64" xfId="128" applyFont="1" applyFill="1" applyBorder="1" applyAlignment="1">
      <alignment horizontal="center" vertical="center" wrapText="1"/>
      <protection/>
    </xf>
    <xf numFmtId="0" fontId="45" fillId="0" borderId="82" xfId="128" applyFont="1" applyFill="1" applyBorder="1" applyAlignment="1">
      <alignment horizontal="center" vertical="center"/>
      <protection/>
    </xf>
    <xf numFmtId="0" fontId="45" fillId="0" borderId="64" xfId="128" applyFont="1" applyFill="1" applyBorder="1" applyAlignment="1">
      <alignment horizontal="center" vertical="center"/>
      <protection/>
    </xf>
    <xf numFmtId="0" fontId="45" fillId="0" borderId="79" xfId="128" applyFont="1" applyFill="1" applyBorder="1" applyAlignment="1">
      <alignment horizontal="center" vertical="center"/>
      <protection/>
    </xf>
    <xf numFmtId="0" fontId="47" fillId="55" borderId="100" xfId="128" applyFont="1" applyFill="1" applyBorder="1" applyAlignment="1">
      <alignment horizontal="left" vertical="top"/>
      <protection/>
    </xf>
    <xf numFmtId="0" fontId="47" fillId="55" borderId="76" xfId="128" applyFont="1" applyFill="1" applyBorder="1" applyAlignment="1">
      <alignment horizontal="left" vertical="top"/>
      <protection/>
    </xf>
    <xf numFmtId="0" fontId="45" fillId="0" borderId="78" xfId="128" applyFont="1" applyFill="1" applyBorder="1" applyAlignment="1">
      <alignment horizontal="center" vertical="top"/>
      <protection/>
    </xf>
    <xf numFmtId="0" fontId="45" fillId="0" borderId="89" xfId="128" applyFont="1" applyFill="1" applyBorder="1" applyAlignment="1">
      <alignment horizontal="center" vertical="center" wrapText="1"/>
      <protection/>
    </xf>
    <xf numFmtId="0" fontId="45" fillId="0" borderId="66" xfId="128" applyFont="1" applyFill="1" applyBorder="1" applyAlignment="1">
      <alignment horizontal="center" vertical="center" wrapText="1"/>
      <protection/>
    </xf>
    <xf numFmtId="0" fontId="45" fillId="0" borderId="95" xfId="128" applyFont="1" applyFill="1" applyBorder="1" applyAlignment="1">
      <alignment horizontal="center" vertical="center" wrapText="1"/>
      <protection/>
    </xf>
    <xf numFmtId="0" fontId="45" fillId="0" borderId="89" xfId="128" applyFont="1" applyFill="1" applyBorder="1" applyAlignment="1">
      <alignment horizontal="center" vertical="center"/>
      <protection/>
    </xf>
    <xf numFmtId="0" fontId="45" fillId="0" borderId="66" xfId="128" applyFont="1" applyFill="1" applyBorder="1" applyAlignment="1">
      <alignment horizontal="center" vertical="center"/>
      <protection/>
    </xf>
    <xf numFmtId="0" fontId="45" fillId="0" borderId="95" xfId="128" applyFont="1" applyFill="1" applyBorder="1" applyAlignment="1">
      <alignment horizontal="center" vertical="center"/>
      <protection/>
    </xf>
    <xf numFmtId="0" fontId="45" fillId="55" borderId="100" xfId="128" applyFont="1" applyFill="1" applyBorder="1" applyAlignment="1">
      <alignment horizontal="left" vertical="top" wrapText="1"/>
      <protection/>
    </xf>
    <xf numFmtId="0" fontId="45" fillId="55" borderId="76" xfId="128" applyFont="1" applyFill="1" applyBorder="1" applyAlignment="1">
      <alignment horizontal="left" vertical="top" wrapText="1"/>
      <protection/>
    </xf>
    <xf numFmtId="164" fontId="50" fillId="55" borderId="86" xfId="99" applyNumberFormat="1" applyFont="1" applyFill="1" applyBorder="1" applyAlignment="1">
      <alignment vertical="center"/>
    </xf>
    <xf numFmtId="164" fontId="50" fillId="55" borderId="101" xfId="99" applyNumberFormat="1" applyFont="1" applyFill="1" applyBorder="1" applyAlignment="1">
      <alignment vertical="center"/>
    </xf>
    <xf numFmtId="0" fontId="45" fillId="55" borderId="73" xfId="128" applyFont="1" applyFill="1" applyBorder="1" applyAlignment="1">
      <alignment horizontal="center" vertical="top"/>
      <protection/>
    </xf>
    <xf numFmtId="0" fontId="45" fillId="55" borderId="85" xfId="128" applyFont="1" applyFill="1" applyBorder="1" applyAlignment="1">
      <alignment horizontal="center" vertical="top"/>
      <protection/>
    </xf>
    <xf numFmtId="0" fontId="45" fillId="55" borderId="102" xfId="128" applyFont="1" applyFill="1" applyBorder="1" applyAlignment="1">
      <alignment horizontal="center" vertical="top"/>
      <protection/>
    </xf>
    <xf numFmtId="0" fontId="45" fillId="55" borderId="65" xfId="128" applyFont="1" applyFill="1" applyBorder="1" applyAlignment="1">
      <alignment horizontal="left" vertical="top"/>
      <protection/>
    </xf>
    <xf numFmtId="0" fontId="45" fillId="55" borderId="64" xfId="128" applyFont="1" applyFill="1" applyBorder="1" applyAlignment="1">
      <alignment horizontal="left" vertical="top"/>
      <protection/>
    </xf>
    <xf numFmtId="0" fontId="45" fillId="55" borderId="89" xfId="128" applyFont="1" applyFill="1" applyBorder="1" applyAlignment="1">
      <alignment horizontal="left" vertical="top"/>
      <protection/>
    </xf>
    <xf numFmtId="0" fontId="45" fillId="55" borderId="65" xfId="128" applyFont="1" applyFill="1" applyBorder="1" applyAlignment="1">
      <alignment horizontal="center" vertical="top"/>
      <protection/>
    </xf>
    <xf numFmtId="0" fontId="45" fillId="55" borderId="64" xfId="128" applyFont="1" applyFill="1" applyBorder="1" applyAlignment="1">
      <alignment horizontal="center" vertical="top"/>
      <protection/>
    </xf>
    <xf numFmtId="0" fontId="45" fillId="55" borderId="89" xfId="128" applyFont="1" applyFill="1" applyBorder="1" applyAlignment="1">
      <alignment horizontal="center" vertical="top"/>
      <protection/>
    </xf>
    <xf numFmtId="164" fontId="50" fillId="55" borderId="74" xfId="99" applyNumberFormat="1" applyFont="1" applyFill="1" applyBorder="1" applyAlignment="1">
      <alignment vertical="center"/>
    </xf>
    <xf numFmtId="0" fontId="47" fillId="55" borderId="103" xfId="128" applyFont="1" applyFill="1" applyBorder="1" applyAlignment="1">
      <alignment horizontal="left" vertical="top"/>
      <protection/>
    </xf>
    <xf numFmtId="0" fontId="47" fillId="55" borderId="64" xfId="128" applyFont="1" applyFill="1" applyBorder="1" applyAlignment="1">
      <alignment horizontal="left" vertical="top"/>
      <protection/>
    </xf>
    <xf numFmtId="0" fontId="47" fillId="55" borderId="78" xfId="128" applyFont="1" applyFill="1" applyBorder="1" applyAlignment="1">
      <alignment horizontal="left" vertical="top"/>
      <protection/>
    </xf>
    <xf numFmtId="0" fontId="47" fillId="55" borderId="104" xfId="128" applyFont="1" applyFill="1" applyBorder="1" applyAlignment="1">
      <alignment horizontal="left" vertical="top"/>
      <protection/>
    </xf>
    <xf numFmtId="0" fontId="47" fillId="55" borderId="105" xfId="128" applyFont="1" applyFill="1" applyBorder="1" applyAlignment="1">
      <alignment horizontal="left" vertical="top"/>
      <protection/>
    </xf>
    <xf numFmtId="0" fontId="22" fillId="0" borderId="0" xfId="128" applyFont="1" applyAlignment="1">
      <alignment horizontal="right" wrapText="1"/>
      <protection/>
    </xf>
    <xf numFmtId="0" fontId="23" fillId="0" borderId="0" xfId="128" applyFont="1" applyBorder="1" applyAlignment="1">
      <alignment horizontal="center" vertical="center" wrapText="1"/>
      <protection/>
    </xf>
    <xf numFmtId="0" fontId="45" fillId="46" borderId="81" xfId="128" applyFont="1" applyFill="1" applyBorder="1" applyAlignment="1">
      <alignment horizontal="center" vertical="center"/>
      <protection/>
    </xf>
    <xf numFmtId="0" fontId="45" fillId="46" borderId="85" xfId="128" applyFont="1" applyFill="1" applyBorder="1" applyAlignment="1">
      <alignment horizontal="center" vertical="center"/>
      <protection/>
    </xf>
    <xf numFmtId="0" fontId="45" fillId="46" borderId="106" xfId="128" applyFont="1" applyFill="1" applyBorder="1" applyAlignment="1">
      <alignment horizontal="center" vertical="center" wrapText="1"/>
      <protection/>
    </xf>
    <xf numFmtId="0" fontId="45" fillId="46" borderId="103" xfId="128" applyFont="1" applyFill="1" applyBorder="1" applyAlignment="1">
      <alignment horizontal="center" vertical="center" wrapText="1"/>
      <protection/>
    </xf>
    <xf numFmtId="0" fontId="45" fillId="46" borderId="82" xfId="128" applyFont="1" applyFill="1" applyBorder="1" applyAlignment="1">
      <alignment horizontal="center" vertical="center" wrapText="1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9" xfId="128" applyFont="1" applyFill="1" applyBorder="1" applyAlignment="1">
      <alignment horizontal="center" vertical="center" wrapText="1"/>
      <protection/>
    </xf>
    <xf numFmtId="0" fontId="47" fillId="55" borderId="75" xfId="128" applyFont="1" applyFill="1" applyBorder="1" applyAlignment="1">
      <alignment horizontal="left" vertical="top"/>
      <protection/>
    </xf>
    <xf numFmtId="0" fontId="47" fillId="55" borderId="107" xfId="128" applyFont="1" applyFill="1" applyBorder="1" applyAlignment="1">
      <alignment horizontal="left" vertical="top"/>
      <protection/>
    </xf>
    <xf numFmtId="0" fontId="47" fillId="55" borderId="108" xfId="128" applyFont="1" applyFill="1" applyBorder="1" applyAlignment="1">
      <alignment horizontal="left" vertical="top"/>
      <protection/>
    </xf>
    <xf numFmtId="0" fontId="45" fillId="46" borderId="109" xfId="128" applyFont="1" applyFill="1" applyBorder="1" applyAlignment="1">
      <alignment horizontal="center" vertical="center" wrapText="1"/>
      <protection/>
    </xf>
    <xf numFmtId="0" fontId="45" fillId="46" borderId="86" xfId="128" applyFont="1" applyFill="1" applyBorder="1" applyAlignment="1">
      <alignment horizontal="center" vertical="center" wrapText="1"/>
      <protection/>
    </xf>
    <xf numFmtId="0" fontId="45" fillId="56" borderId="84" xfId="128" applyFont="1" applyFill="1" applyBorder="1" applyAlignment="1">
      <alignment horizontal="left" vertical="top"/>
      <protection/>
    </xf>
    <xf numFmtId="0" fontId="45" fillId="56" borderId="66" xfId="128" applyFont="1" applyFill="1" applyBorder="1" applyAlignment="1">
      <alignment horizontal="left" vertical="top"/>
      <protection/>
    </xf>
    <xf numFmtId="0" fontId="47" fillId="0" borderId="84" xfId="128" applyFont="1" applyFill="1" applyBorder="1" applyAlignment="1">
      <alignment horizontal="left" vertical="top"/>
      <protection/>
    </xf>
    <xf numFmtId="0" fontId="47" fillId="0" borderId="66" xfId="128" applyFont="1" applyFill="1" applyBorder="1" applyAlignment="1">
      <alignment horizontal="left" vertical="top"/>
      <protection/>
    </xf>
    <xf numFmtId="0" fontId="47" fillId="0" borderId="83" xfId="128" applyFont="1" applyFill="1" applyBorder="1" applyAlignment="1">
      <alignment horizontal="left" vertical="top"/>
      <protection/>
    </xf>
    <xf numFmtId="0" fontId="47" fillId="0" borderId="65" xfId="128" applyFont="1" applyFill="1" applyBorder="1" applyAlignment="1">
      <alignment horizontal="left" vertical="top"/>
      <protection/>
    </xf>
    <xf numFmtId="0" fontId="45" fillId="55" borderId="75" xfId="128" applyFont="1" applyFill="1" applyBorder="1" applyAlignment="1">
      <alignment horizontal="left" vertical="top" wrapText="1"/>
      <protection/>
    </xf>
    <xf numFmtId="0" fontId="48" fillId="55" borderId="107" xfId="128" applyFont="1" applyFill="1" applyBorder="1" applyAlignment="1">
      <alignment horizontal="left" vertical="top" wrapText="1"/>
      <protection/>
    </xf>
    <xf numFmtId="0" fontId="48" fillId="55" borderId="108" xfId="128" applyFont="1" applyFill="1" applyBorder="1" applyAlignment="1">
      <alignment horizontal="left" vertical="top" wrapText="1"/>
      <protection/>
    </xf>
  </cellXfs>
  <cellStyles count="16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Dziesiętny 2 2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" xfId="118"/>
    <cellStyle name="Neutralne 2" xfId="119"/>
    <cellStyle name="Neutralne 3" xfId="120"/>
    <cellStyle name="Normalny 10" xfId="121"/>
    <cellStyle name="Normalny 11" xfId="122"/>
    <cellStyle name="Normalny 12" xfId="123"/>
    <cellStyle name="Normalny 13" xfId="124"/>
    <cellStyle name="Normalny 14" xfId="125"/>
    <cellStyle name="Normalny 2" xfId="126"/>
    <cellStyle name="Normalny 2 2" xfId="127"/>
    <cellStyle name="Normalny 2 2 2" xfId="128"/>
    <cellStyle name="Normalny 2 3" xfId="129"/>
    <cellStyle name="Normalny 2 4" xfId="130"/>
    <cellStyle name="Normalny 2 5" xfId="131"/>
    <cellStyle name="Normalny 2 6" xfId="132"/>
    <cellStyle name="Normalny 2 7" xfId="133"/>
    <cellStyle name="Normalny 3" xfId="134"/>
    <cellStyle name="Normalny 4" xfId="135"/>
    <cellStyle name="Normalny 5" xfId="136"/>
    <cellStyle name="Normalny 6" xfId="137"/>
    <cellStyle name="Normalny 6 2" xfId="138"/>
    <cellStyle name="Normalny 6 2 2" xfId="139"/>
    <cellStyle name="Normalny 7" xfId="140"/>
    <cellStyle name="Normalny 7 2" xfId="141"/>
    <cellStyle name="Normalny 8" xfId="142"/>
    <cellStyle name="Normalny 8 2" xfId="143"/>
    <cellStyle name="Normalny 9" xfId="144"/>
    <cellStyle name="Obliczenia" xfId="145"/>
    <cellStyle name="Obliczenia 2" xfId="146"/>
    <cellStyle name="Obliczenia 3" xfId="147"/>
    <cellStyle name="Percent" xfId="148"/>
    <cellStyle name="Procentowy 2" xfId="149"/>
    <cellStyle name="Procentowy 2 2" xfId="150"/>
    <cellStyle name="Procentowy 2 2 2" xfId="151"/>
    <cellStyle name="Procentowy 2 3" xfId="152"/>
    <cellStyle name="Procentowy 3" xfId="153"/>
    <cellStyle name="Procentowy 3 2" xfId="154"/>
    <cellStyle name="Procentowy 4" xfId="155"/>
    <cellStyle name="Procentowy 5" xfId="156"/>
    <cellStyle name="Procentowy 6" xfId="157"/>
    <cellStyle name="Suma" xfId="158"/>
    <cellStyle name="Suma 2" xfId="159"/>
    <cellStyle name="Suma 3" xfId="160"/>
    <cellStyle name="Tekst objaśnienia" xfId="161"/>
    <cellStyle name="Tekst objaśnienia 2" xfId="162"/>
    <cellStyle name="Tekst objaśnienia 3" xfId="163"/>
    <cellStyle name="Tekst ostrzeżenia" xfId="164"/>
    <cellStyle name="Tekst ostrzeżenia 2" xfId="165"/>
    <cellStyle name="Tekst ostrzeżenia 3" xfId="166"/>
    <cellStyle name="Tytuł" xfId="167"/>
    <cellStyle name="Tytuł 2" xfId="168"/>
    <cellStyle name="Uwaga" xfId="169"/>
    <cellStyle name="Uwaga 2" xfId="170"/>
    <cellStyle name="Uwaga 3" xfId="171"/>
    <cellStyle name="Currency" xfId="172"/>
    <cellStyle name="Currency [0]" xfId="173"/>
    <cellStyle name="Złe" xfId="174"/>
    <cellStyle name="Złe 2" xfId="175"/>
    <cellStyle name="Złe 3" xfId="17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BEST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4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M202"/>
  <sheetViews>
    <sheetView tabSelected="1" zoomScaleSheetLayoutView="100" zoomScalePageLayoutView="0" workbookViewId="0" topLeftCell="A1">
      <pane xSplit="4" ySplit="8" topLeftCell="I9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R1" sqref="R1:AL16384"/>
    </sheetView>
  </sheetViews>
  <sheetFormatPr defaultColWidth="9.140625" defaultRowHeight="15" outlineLevelRow="5" outlineLevelCol="1"/>
  <cols>
    <col min="1" max="1" width="4.8515625" style="25" hidden="1" customWidth="1" outlineLevel="1"/>
    <col min="2" max="2" width="7.57421875" style="38" customWidth="1" collapsed="1"/>
    <col min="3" max="3" width="24.8515625" style="40" hidden="1" customWidth="1"/>
    <col min="4" max="4" width="66.7109375" style="38" customWidth="1"/>
    <col min="5" max="8" width="16.00390625" style="38" hidden="1" customWidth="1" outlineLevel="1"/>
    <col min="9" max="9" width="14.7109375" style="38" customWidth="1" collapsed="1"/>
    <col min="10" max="10" width="14.421875" style="38" customWidth="1"/>
    <col min="11" max="11" width="16.00390625" style="38" customWidth="1"/>
    <col min="12" max="12" width="13.00390625" style="38" customWidth="1"/>
    <col min="13" max="13" width="14.00390625" style="38" customWidth="1"/>
    <col min="14" max="14" width="13.8515625" style="38" customWidth="1"/>
    <col min="15" max="15" width="14.140625" style="38" customWidth="1"/>
    <col min="16" max="16" width="15.140625" style="38" customWidth="1"/>
    <col min="17" max="17" width="14.7109375" style="38" customWidth="1"/>
    <col min="18" max="38" width="16.00390625" style="38" hidden="1" customWidth="1"/>
    <col min="39" max="16384" width="9.140625" style="31" customWidth="1"/>
  </cols>
  <sheetData>
    <row r="1" spans="2:39" ht="14.25">
      <c r="B1" s="26"/>
      <c r="C1" s="27"/>
      <c r="D1" s="28"/>
      <c r="E1" s="29"/>
      <c r="F1" s="29"/>
      <c r="G1" s="29"/>
      <c r="H1" s="29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8"/>
    </row>
    <row r="2" spans="2:39" ht="15">
      <c r="B2" s="26"/>
      <c r="C2" s="32"/>
      <c r="D2" s="33"/>
      <c r="E2" s="29"/>
      <c r="F2" s="29"/>
      <c r="G2" s="29"/>
      <c r="H2" s="29"/>
      <c r="I2" s="34"/>
      <c r="J2" s="29"/>
      <c r="K2" s="29"/>
      <c r="L2" s="366" t="s">
        <v>481</v>
      </c>
      <c r="M2" s="366"/>
      <c r="N2" s="366"/>
      <c r="O2" s="366"/>
      <c r="P2" s="366"/>
      <c r="Q2" s="366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8"/>
    </row>
    <row r="3" spans="2:39" ht="14.25">
      <c r="B3" s="26"/>
      <c r="C3" s="3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8"/>
    </row>
    <row r="4" spans="2:39" ht="14.25">
      <c r="B4" s="36"/>
      <c r="C4" s="37"/>
      <c r="D4" s="362"/>
      <c r="E4" s="29"/>
      <c r="F4" s="29"/>
      <c r="G4" s="29"/>
      <c r="H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8"/>
    </row>
    <row r="5" spans="2:39" ht="14.25">
      <c r="B5" s="39"/>
      <c r="D5" s="363"/>
      <c r="E5" s="41"/>
      <c r="F5" s="42"/>
      <c r="G5" s="43"/>
      <c r="H5" s="41"/>
      <c r="K5" s="41"/>
      <c r="L5" s="29"/>
      <c r="M5" s="41"/>
      <c r="N5" s="34"/>
      <c r="O5" s="34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8"/>
    </row>
    <row r="6" spans="2:39" ht="15.75">
      <c r="B6" s="365" t="s">
        <v>479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8"/>
    </row>
    <row r="7" spans="5:39" ht="14.25">
      <c r="E7" s="364"/>
      <c r="F7" s="364"/>
      <c r="G7" s="364"/>
      <c r="H7" s="364"/>
      <c r="K7" s="4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</row>
    <row r="8" spans="1:39" ht="14.25">
      <c r="A8" s="44" t="s">
        <v>68</v>
      </c>
      <c r="B8" s="45" t="s">
        <v>1</v>
      </c>
      <c r="C8" s="46" t="s">
        <v>69</v>
      </c>
      <c r="D8" s="47" t="s">
        <v>70</v>
      </c>
      <c r="E8" s="48">
        <f>+F8-1</f>
        <v>2012</v>
      </c>
      <c r="F8" s="49">
        <f>+G8-1</f>
        <v>2013</v>
      </c>
      <c r="G8" s="49">
        <f>+H8</f>
        <v>2014</v>
      </c>
      <c r="H8" s="50">
        <f>+I8-1</f>
        <v>2014</v>
      </c>
      <c r="I8" s="51">
        <f>+'[1]DaneZrodlowe'!$N$1</f>
        <v>2015</v>
      </c>
      <c r="J8" s="52">
        <f>+I8+1</f>
        <v>2016</v>
      </c>
      <c r="K8" s="52">
        <f aca="true" t="shared" si="0" ref="K8:AL8">+J8+1</f>
        <v>2017</v>
      </c>
      <c r="L8" s="52">
        <f t="shared" si="0"/>
        <v>2018</v>
      </c>
      <c r="M8" s="52">
        <f t="shared" si="0"/>
        <v>2019</v>
      </c>
      <c r="N8" s="52">
        <f t="shared" si="0"/>
        <v>2020</v>
      </c>
      <c r="O8" s="52">
        <f t="shared" si="0"/>
        <v>2021</v>
      </c>
      <c r="P8" s="52">
        <f t="shared" si="0"/>
        <v>2022</v>
      </c>
      <c r="Q8" s="52">
        <f t="shared" si="0"/>
        <v>2023</v>
      </c>
      <c r="R8" s="52">
        <f t="shared" si="0"/>
        <v>2024</v>
      </c>
      <c r="S8" s="52">
        <f t="shared" si="0"/>
        <v>2025</v>
      </c>
      <c r="T8" s="52">
        <f t="shared" si="0"/>
        <v>2026</v>
      </c>
      <c r="U8" s="52">
        <f t="shared" si="0"/>
        <v>2027</v>
      </c>
      <c r="V8" s="52">
        <f t="shared" si="0"/>
        <v>2028</v>
      </c>
      <c r="W8" s="52">
        <f t="shared" si="0"/>
        <v>2029</v>
      </c>
      <c r="X8" s="52">
        <f t="shared" si="0"/>
        <v>2030</v>
      </c>
      <c r="Y8" s="52">
        <f t="shared" si="0"/>
        <v>2031</v>
      </c>
      <c r="Z8" s="52">
        <f t="shared" si="0"/>
        <v>2032</v>
      </c>
      <c r="AA8" s="52">
        <f t="shared" si="0"/>
        <v>2033</v>
      </c>
      <c r="AB8" s="52">
        <f t="shared" si="0"/>
        <v>2034</v>
      </c>
      <c r="AC8" s="52">
        <f t="shared" si="0"/>
        <v>2035</v>
      </c>
      <c r="AD8" s="52">
        <f t="shared" si="0"/>
        <v>2036</v>
      </c>
      <c r="AE8" s="52">
        <f t="shared" si="0"/>
        <v>2037</v>
      </c>
      <c r="AF8" s="52">
        <f t="shared" si="0"/>
        <v>2038</v>
      </c>
      <c r="AG8" s="52">
        <f t="shared" si="0"/>
        <v>2039</v>
      </c>
      <c r="AH8" s="52">
        <f t="shared" si="0"/>
        <v>2040</v>
      </c>
      <c r="AI8" s="52">
        <f t="shared" si="0"/>
        <v>2041</v>
      </c>
      <c r="AJ8" s="52">
        <f t="shared" si="0"/>
        <v>2042</v>
      </c>
      <c r="AK8" s="52">
        <f t="shared" si="0"/>
        <v>2043</v>
      </c>
      <c r="AL8" s="53">
        <f t="shared" si="0"/>
        <v>2044</v>
      </c>
      <c r="AM8" s="54"/>
    </row>
    <row r="9" spans="1:39" ht="15" outlineLevel="1">
      <c r="A9" s="25" t="s">
        <v>71</v>
      </c>
      <c r="B9" s="55">
        <v>1</v>
      </c>
      <c r="C9" s="56" t="s">
        <v>72</v>
      </c>
      <c r="D9" s="57" t="s">
        <v>72</v>
      </c>
      <c r="E9" s="58">
        <f>20245143.63</f>
        <v>20245143.63</v>
      </c>
      <c r="F9" s="59">
        <f>20184871.67</f>
        <v>20184871.67</v>
      </c>
      <c r="G9" s="59">
        <f>22113351.9</f>
        <v>22113351.9</v>
      </c>
      <c r="H9" s="60">
        <f>19717290.16</f>
        <v>19717290.16</v>
      </c>
      <c r="I9" s="61">
        <f>22953286.29</f>
        <v>22953286.29</v>
      </c>
      <c r="J9" s="62">
        <f>19584862</f>
        <v>19584862</v>
      </c>
      <c r="K9" s="62">
        <f>19780710</f>
        <v>19780710</v>
      </c>
      <c r="L9" s="62">
        <f>19978517</f>
        <v>19978517</v>
      </c>
      <c r="M9" s="62">
        <f>20178302</f>
        <v>20178302</v>
      </c>
      <c r="N9" s="62">
        <f>20380086</f>
        <v>20380086</v>
      </c>
      <c r="O9" s="62">
        <f>20583886</f>
        <v>20583886</v>
      </c>
      <c r="P9" s="62">
        <f>20789725</f>
        <v>20789725</v>
      </c>
      <c r="Q9" s="62">
        <f>20997622</f>
        <v>20997622</v>
      </c>
      <c r="R9" s="62">
        <f>0</f>
        <v>0</v>
      </c>
      <c r="S9" s="62">
        <f>0</f>
        <v>0</v>
      </c>
      <c r="T9" s="62">
        <f>0</f>
        <v>0</v>
      </c>
      <c r="U9" s="62">
        <f>0</f>
        <v>0</v>
      </c>
      <c r="V9" s="62">
        <f>0</f>
        <v>0</v>
      </c>
      <c r="W9" s="62">
        <f>0</f>
        <v>0</v>
      </c>
      <c r="X9" s="62">
        <f>0</f>
        <v>0</v>
      </c>
      <c r="Y9" s="62">
        <f>0</f>
        <v>0</v>
      </c>
      <c r="Z9" s="62">
        <f>0</f>
        <v>0</v>
      </c>
      <c r="AA9" s="62">
        <f>0</f>
        <v>0</v>
      </c>
      <c r="AB9" s="62">
        <f>0</f>
        <v>0</v>
      </c>
      <c r="AC9" s="62">
        <f>0</f>
        <v>0</v>
      </c>
      <c r="AD9" s="62">
        <f>0</f>
        <v>0</v>
      </c>
      <c r="AE9" s="62">
        <f>0</f>
        <v>0</v>
      </c>
      <c r="AF9" s="62">
        <f>0</f>
        <v>0</v>
      </c>
      <c r="AG9" s="62">
        <f>0</f>
        <v>0</v>
      </c>
      <c r="AH9" s="62">
        <f>0</f>
        <v>0</v>
      </c>
      <c r="AI9" s="62">
        <f>0</f>
        <v>0</v>
      </c>
      <c r="AJ9" s="62">
        <f>0</f>
        <v>0</v>
      </c>
      <c r="AK9" s="62">
        <f>0</f>
        <v>0</v>
      </c>
      <c r="AL9" s="63">
        <f>0</f>
        <v>0</v>
      </c>
      <c r="AM9" s="64"/>
    </row>
    <row r="10" spans="1:38" ht="14.25" outlineLevel="2">
      <c r="A10" s="25" t="s">
        <v>71</v>
      </c>
      <c r="B10" s="65" t="s">
        <v>2</v>
      </c>
      <c r="C10" s="66" t="s">
        <v>73</v>
      </c>
      <c r="D10" s="67" t="s">
        <v>74</v>
      </c>
      <c r="E10" s="68">
        <f>17323122.3</f>
        <v>17323122.3</v>
      </c>
      <c r="F10" s="69">
        <f>17672294.68</f>
        <v>17672294.68</v>
      </c>
      <c r="G10" s="69">
        <f>19264441.9</f>
        <v>19264441.9</v>
      </c>
      <c r="H10" s="70">
        <f>18067315.98</f>
        <v>18067315.98</v>
      </c>
      <c r="I10" s="71">
        <f>22318100.29</f>
        <v>22318100.29</v>
      </c>
      <c r="J10" s="72">
        <f>18985906</f>
        <v>18985906</v>
      </c>
      <c r="K10" s="72">
        <f>19175764</f>
        <v>19175764</v>
      </c>
      <c r="L10" s="72">
        <f>19367522</f>
        <v>19367522</v>
      </c>
      <c r="M10" s="72">
        <f>19561197</f>
        <v>19561197</v>
      </c>
      <c r="N10" s="72">
        <f>19756809</f>
        <v>19756809</v>
      </c>
      <c r="O10" s="72">
        <f>19954377</f>
        <v>19954377</v>
      </c>
      <c r="P10" s="72">
        <f>20153921</f>
        <v>20153921</v>
      </c>
      <c r="Q10" s="72">
        <f>20355460</f>
        <v>20355460</v>
      </c>
      <c r="R10" s="72">
        <f>0</f>
        <v>0</v>
      </c>
      <c r="S10" s="72">
        <f>0</f>
        <v>0</v>
      </c>
      <c r="T10" s="72">
        <f>0</f>
        <v>0</v>
      </c>
      <c r="U10" s="72">
        <f>0</f>
        <v>0</v>
      </c>
      <c r="V10" s="72">
        <f>0</f>
        <v>0</v>
      </c>
      <c r="W10" s="72">
        <f>0</f>
        <v>0</v>
      </c>
      <c r="X10" s="72">
        <f>0</f>
        <v>0</v>
      </c>
      <c r="Y10" s="72">
        <f>0</f>
        <v>0</v>
      </c>
      <c r="Z10" s="72">
        <f>0</f>
        <v>0</v>
      </c>
      <c r="AA10" s="72">
        <f>0</f>
        <v>0</v>
      </c>
      <c r="AB10" s="72">
        <f>0</f>
        <v>0</v>
      </c>
      <c r="AC10" s="72">
        <f>0</f>
        <v>0</v>
      </c>
      <c r="AD10" s="72">
        <f>0</f>
        <v>0</v>
      </c>
      <c r="AE10" s="72">
        <f>0</f>
        <v>0</v>
      </c>
      <c r="AF10" s="72">
        <f>0</f>
        <v>0</v>
      </c>
      <c r="AG10" s="72">
        <f>0</f>
        <v>0</v>
      </c>
      <c r="AH10" s="72">
        <f>0</f>
        <v>0</v>
      </c>
      <c r="AI10" s="72">
        <f>0</f>
        <v>0</v>
      </c>
      <c r="AJ10" s="72">
        <f>0</f>
        <v>0</v>
      </c>
      <c r="AK10" s="72">
        <f>0</f>
        <v>0</v>
      </c>
      <c r="AL10" s="73">
        <f>0</f>
        <v>0</v>
      </c>
    </row>
    <row r="11" spans="2:38" ht="14.25" outlineLevel="3">
      <c r="B11" s="65" t="s">
        <v>3</v>
      </c>
      <c r="C11" s="74" t="s">
        <v>75</v>
      </c>
      <c r="D11" s="75" t="s">
        <v>76</v>
      </c>
      <c r="E11" s="68">
        <f>3151779</f>
        <v>3151779</v>
      </c>
      <c r="F11" s="69">
        <f>3229309</f>
        <v>3229309</v>
      </c>
      <c r="G11" s="69">
        <f>3290694</f>
        <v>3290694</v>
      </c>
      <c r="H11" s="70">
        <f>3327217</f>
        <v>3327217</v>
      </c>
      <c r="I11" s="71">
        <f>3911000</f>
        <v>3911000</v>
      </c>
      <c r="J11" s="72">
        <f>3950110</f>
        <v>3950110</v>
      </c>
      <c r="K11" s="72">
        <f>3989611</f>
        <v>3989611</v>
      </c>
      <c r="L11" s="72">
        <f>4029507</f>
        <v>4029507</v>
      </c>
      <c r="M11" s="72">
        <f>4069802</f>
        <v>4069802</v>
      </c>
      <c r="N11" s="72">
        <f>4110500</f>
        <v>4110500</v>
      </c>
      <c r="O11" s="72">
        <f>4151605</f>
        <v>4151605</v>
      </c>
      <c r="P11" s="72">
        <f>4193121</f>
        <v>4193121</v>
      </c>
      <c r="Q11" s="72">
        <f>4235053</f>
        <v>4235053</v>
      </c>
      <c r="R11" s="72">
        <f>0</f>
        <v>0</v>
      </c>
      <c r="S11" s="72">
        <f>0</f>
        <v>0</v>
      </c>
      <c r="T11" s="72">
        <f>0</f>
        <v>0</v>
      </c>
      <c r="U11" s="72">
        <f>0</f>
        <v>0</v>
      </c>
      <c r="V11" s="72">
        <f>0</f>
        <v>0</v>
      </c>
      <c r="W11" s="72">
        <f>0</f>
        <v>0</v>
      </c>
      <c r="X11" s="72">
        <f>0</f>
        <v>0</v>
      </c>
      <c r="Y11" s="72">
        <f>0</f>
        <v>0</v>
      </c>
      <c r="Z11" s="72">
        <f>0</f>
        <v>0</v>
      </c>
      <c r="AA11" s="72">
        <f>0</f>
        <v>0</v>
      </c>
      <c r="AB11" s="72">
        <f>0</f>
        <v>0</v>
      </c>
      <c r="AC11" s="72">
        <f>0</f>
        <v>0</v>
      </c>
      <c r="AD11" s="72">
        <f>0</f>
        <v>0</v>
      </c>
      <c r="AE11" s="72">
        <f>0</f>
        <v>0</v>
      </c>
      <c r="AF11" s="72">
        <f>0</f>
        <v>0</v>
      </c>
      <c r="AG11" s="72">
        <f>0</f>
        <v>0</v>
      </c>
      <c r="AH11" s="72">
        <f>0</f>
        <v>0</v>
      </c>
      <c r="AI11" s="72">
        <f>0</f>
        <v>0</v>
      </c>
      <c r="AJ11" s="72">
        <f>0</f>
        <v>0</v>
      </c>
      <c r="AK11" s="72">
        <f>0</f>
        <v>0</v>
      </c>
      <c r="AL11" s="73">
        <f>0</f>
        <v>0</v>
      </c>
    </row>
    <row r="12" spans="2:38" ht="14.25" outlineLevel="3">
      <c r="B12" s="65" t="s">
        <v>4</v>
      </c>
      <c r="C12" s="74" t="s">
        <v>77</v>
      </c>
      <c r="D12" s="75" t="s">
        <v>78</v>
      </c>
      <c r="E12" s="68">
        <f>1159935.15</f>
        <v>1159935.15</v>
      </c>
      <c r="F12" s="69">
        <f>424770.31</f>
        <v>424770.31</v>
      </c>
      <c r="G12" s="69">
        <f>900000</f>
        <v>900000</v>
      </c>
      <c r="H12" s="70">
        <f>-295087.23</f>
        <v>-295087.23</v>
      </c>
      <c r="I12" s="71">
        <f>300000</f>
        <v>300000</v>
      </c>
      <c r="J12" s="72">
        <f>303000</f>
        <v>303000</v>
      </c>
      <c r="K12" s="72">
        <f>306030</f>
        <v>306030</v>
      </c>
      <c r="L12" s="72">
        <f>309090</f>
        <v>309090</v>
      </c>
      <c r="M12" s="72">
        <f>312181</f>
        <v>312181</v>
      </c>
      <c r="N12" s="72">
        <f>315303</f>
        <v>315303</v>
      </c>
      <c r="O12" s="72">
        <f>318456</f>
        <v>318456</v>
      </c>
      <c r="P12" s="72">
        <f>321641</f>
        <v>321641</v>
      </c>
      <c r="Q12" s="72">
        <f>324857</f>
        <v>324857</v>
      </c>
      <c r="R12" s="72">
        <f>0</f>
        <v>0</v>
      </c>
      <c r="S12" s="72">
        <f>0</f>
        <v>0</v>
      </c>
      <c r="T12" s="72">
        <f>0</f>
        <v>0</v>
      </c>
      <c r="U12" s="72">
        <f>0</f>
        <v>0</v>
      </c>
      <c r="V12" s="72">
        <f>0</f>
        <v>0</v>
      </c>
      <c r="W12" s="72">
        <f>0</f>
        <v>0</v>
      </c>
      <c r="X12" s="72">
        <f>0</f>
        <v>0</v>
      </c>
      <c r="Y12" s="72">
        <f>0</f>
        <v>0</v>
      </c>
      <c r="Z12" s="72">
        <f>0</f>
        <v>0</v>
      </c>
      <c r="AA12" s="72">
        <f>0</f>
        <v>0</v>
      </c>
      <c r="AB12" s="72">
        <f>0</f>
        <v>0</v>
      </c>
      <c r="AC12" s="72">
        <f>0</f>
        <v>0</v>
      </c>
      <c r="AD12" s="72">
        <f>0</f>
        <v>0</v>
      </c>
      <c r="AE12" s="72">
        <f>0</f>
        <v>0</v>
      </c>
      <c r="AF12" s="72">
        <f>0</f>
        <v>0</v>
      </c>
      <c r="AG12" s="72">
        <f>0</f>
        <v>0</v>
      </c>
      <c r="AH12" s="72">
        <f>0</f>
        <v>0</v>
      </c>
      <c r="AI12" s="72">
        <f>0</f>
        <v>0</v>
      </c>
      <c r="AJ12" s="72">
        <f>0</f>
        <v>0</v>
      </c>
      <c r="AK12" s="72">
        <f>0</f>
        <v>0</v>
      </c>
      <c r="AL12" s="73">
        <f>0</f>
        <v>0</v>
      </c>
    </row>
    <row r="13" spans="2:38" ht="14.25" outlineLevel="3">
      <c r="B13" s="65" t="s">
        <v>79</v>
      </c>
      <c r="C13" s="74" t="s">
        <v>80</v>
      </c>
      <c r="D13" s="75" t="s">
        <v>81</v>
      </c>
      <c r="E13" s="68">
        <f>6295793.91</f>
        <v>6295793.91</v>
      </c>
      <c r="F13" s="69">
        <f>7032325.04</f>
        <v>7032325.04</v>
      </c>
      <c r="G13" s="69">
        <f>7959798</f>
        <v>7959798</v>
      </c>
      <c r="H13" s="70">
        <f>7763149.51</f>
        <v>7763149.51</v>
      </c>
      <c r="I13" s="71">
        <f>11454931</f>
        <v>11454931</v>
      </c>
      <c r="J13" s="72">
        <f>8541283</f>
        <v>8541283</v>
      </c>
      <c r="K13" s="72">
        <f>8626696</f>
        <v>8626696</v>
      </c>
      <c r="L13" s="72">
        <f>8712963</f>
        <v>8712963</v>
      </c>
      <c r="M13" s="72">
        <f>8800093</f>
        <v>8800093</v>
      </c>
      <c r="N13" s="72">
        <f>8888094</f>
        <v>8888094</v>
      </c>
      <c r="O13" s="72">
        <f>8976975</f>
        <v>8976975</v>
      </c>
      <c r="P13" s="72">
        <f>9066745</f>
        <v>9066745</v>
      </c>
      <c r="Q13" s="72">
        <f>9157411</f>
        <v>9157411</v>
      </c>
      <c r="R13" s="72">
        <f>0</f>
        <v>0</v>
      </c>
      <c r="S13" s="72">
        <f>0</f>
        <v>0</v>
      </c>
      <c r="T13" s="72">
        <f>0</f>
        <v>0</v>
      </c>
      <c r="U13" s="72">
        <f>0</f>
        <v>0</v>
      </c>
      <c r="V13" s="72">
        <f>0</f>
        <v>0</v>
      </c>
      <c r="W13" s="72">
        <f>0</f>
        <v>0</v>
      </c>
      <c r="X13" s="72">
        <f>0</f>
        <v>0</v>
      </c>
      <c r="Y13" s="72">
        <f>0</f>
        <v>0</v>
      </c>
      <c r="Z13" s="72">
        <f>0</f>
        <v>0</v>
      </c>
      <c r="AA13" s="72">
        <f>0</f>
        <v>0</v>
      </c>
      <c r="AB13" s="72">
        <f>0</f>
        <v>0</v>
      </c>
      <c r="AC13" s="72">
        <f>0</f>
        <v>0</v>
      </c>
      <c r="AD13" s="72">
        <f>0</f>
        <v>0</v>
      </c>
      <c r="AE13" s="72">
        <f>0</f>
        <v>0</v>
      </c>
      <c r="AF13" s="72">
        <f>0</f>
        <v>0</v>
      </c>
      <c r="AG13" s="72">
        <f>0</f>
        <v>0</v>
      </c>
      <c r="AH13" s="72">
        <f>0</f>
        <v>0</v>
      </c>
      <c r="AI13" s="72">
        <f>0</f>
        <v>0</v>
      </c>
      <c r="AJ13" s="72">
        <f>0</f>
        <v>0</v>
      </c>
      <c r="AK13" s="72">
        <f>0</f>
        <v>0</v>
      </c>
      <c r="AL13" s="73">
        <f>0</f>
        <v>0</v>
      </c>
    </row>
    <row r="14" spans="2:38" ht="14.25" outlineLevel="4">
      <c r="B14" s="65" t="s">
        <v>82</v>
      </c>
      <c r="C14" s="74" t="s">
        <v>83</v>
      </c>
      <c r="D14" s="76" t="s">
        <v>84</v>
      </c>
      <c r="E14" s="68">
        <f>5123482.52</f>
        <v>5123482.52</v>
      </c>
      <c r="F14" s="69">
        <f>5509971.13</f>
        <v>5509971.13</v>
      </c>
      <c r="G14" s="69">
        <f>6020320</f>
        <v>6020320</v>
      </c>
      <c r="H14" s="70">
        <f>6016385.02</f>
        <v>6016385.02</v>
      </c>
      <c r="I14" s="71">
        <f>6163227</f>
        <v>6163227</v>
      </c>
      <c r="J14" s="72">
        <f>6224859</f>
        <v>6224859</v>
      </c>
      <c r="K14" s="72">
        <f>6287108</f>
        <v>6287108</v>
      </c>
      <c r="L14" s="72">
        <f>6349979</f>
        <v>6349979</v>
      </c>
      <c r="M14" s="72">
        <f>6413479</f>
        <v>6413479</v>
      </c>
      <c r="N14" s="72">
        <f>6477614</f>
        <v>6477614</v>
      </c>
      <c r="O14" s="72">
        <f>6542390</f>
        <v>6542390</v>
      </c>
      <c r="P14" s="72">
        <f>6607814</f>
        <v>6607814</v>
      </c>
      <c r="Q14" s="72">
        <f>6673891.69</f>
        <v>6673891.69</v>
      </c>
      <c r="R14" s="72">
        <f>0</f>
        <v>0</v>
      </c>
      <c r="S14" s="72">
        <f>0</f>
        <v>0</v>
      </c>
      <c r="T14" s="72">
        <f>0</f>
        <v>0</v>
      </c>
      <c r="U14" s="72">
        <f>0</f>
        <v>0</v>
      </c>
      <c r="V14" s="72">
        <f>0</f>
        <v>0</v>
      </c>
      <c r="W14" s="72">
        <f>0</f>
        <v>0</v>
      </c>
      <c r="X14" s="72">
        <f>0</f>
        <v>0</v>
      </c>
      <c r="Y14" s="72">
        <f>0</f>
        <v>0</v>
      </c>
      <c r="Z14" s="72">
        <f>0</f>
        <v>0</v>
      </c>
      <c r="AA14" s="72">
        <f>0</f>
        <v>0</v>
      </c>
      <c r="AB14" s="72">
        <f>0</f>
        <v>0</v>
      </c>
      <c r="AC14" s="72">
        <f>0</f>
        <v>0</v>
      </c>
      <c r="AD14" s="72">
        <f>0</f>
        <v>0</v>
      </c>
      <c r="AE14" s="72">
        <f>0</f>
        <v>0</v>
      </c>
      <c r="AF14" s="72">
        <f>0</f>
        <v>0</v>
      </c>
      <c r="AG14" s="72">
        <f>0</f>
        <v>0</v>
      </c>
      <c r="AH14" s="72">
        <f>0</f>
        <v>0</v>
      </c>
      <c r="AI14" s="72">
        <f>0</f>
        <v>0</v>
      </c>
      <c r="AJ14" s="72">
        <f>0</f>
        <v>0</v>
      </c>
      <c r="AK14" s="72">
        <f>0</f>
        <v>0</v>
      </c>
      <c r="AL14" s="73">
        <f>0</f>
        <v>0</v>
      </c>
    </row>
    <row r="15" spans="2:38" ht="14.25" outlineLevel="3">
      <c r="B15" s="65" t="s">
        <v>85</v>
      </c>
      <c r="C15" s="74" t="s">
        <v>86</v>
      </c>
      <c r="D15" s="75" t="s">
        <v>87</v>
      </c>
      <c r="E15" s="68">
        <f>3052760</f>
        <v>3052760</v>
      </c>
      <c r="F15" s="69">
        <f>3284589</f>
        <v>3284589</v>
      </c>
      <c r="G15" s="69">
        <f>3309648</f>
        <v>3309648</v>
      </c>
      <c r="H15" s="70">
        <f>3381137</f>
        <v>3381137</v>
      </c>
      <c r="I15" s="71">
        <f>3404462</f>
        <v>3404462</v>
      </c>
      <c r="J15" s="72">
        <f>3614492</f>
        <v>3614492</v>
      </c>
      <c r="K15" s="72">
        <f>3650637</f>
        <v>3650637</v>
      </c>
      <c r="L15" s="72">
        <f>3687144</f>
        <v>3687144</v>
      </c>
      <c r="M15" s="72">
        <f>3724015</f>
        <v>3724015</v>
      </c>
      <c r="N15" s="72">
        <f>3761255</f>
        <v>3761255</v>
      </c>
      <c r="O15" s="72">
        <f>3798867</f>
        <v>3798867</v>
      </c>
      <c r="P15" s="72">
        <f>3836856</f>
        <v>3836856</v>
      </c>
      <c r="Q15" s="72">
        <f>3875225</f>
        <v>3875225</v>
      </c>
      <c r="R15" s="72">
        <f>0</f>
        <v>0</v>
      </c>
      <c r="S15" s="72">
        <f>0</f>
        <v>0</v>
      </c>
      <c r="T15" s="72">
        <f>0</f>
        <v>0</v>
      </c>
      <c r="U15" s="72">
        <f>0</f>
        <v>0</v>
      </c>
      <c r="V15" s="72">
        <f>0</f>
        <v>0</v>
      </c>
      <c r="W15" s="72">
        <f>0</f>
        <v>0</v>
      </c>
      <c r="X15" s="72">
        <f>0</f>
        <v>0</v>
      </c>
      <c r="Y15" s="72">
        <f>0</f>
        <v>0</v>
      </c>
      <c r="Z15" s="72">
        <f>0</f>
        <v>0</v>
      </c>
      <c r="AA15" s="72">
        <f>0</f>
        <v>0</v>
      </c>
      <c r="AB15" s="72">
        <f>0</f>
        <v>0</v>
      </c>
      <c r="AC15" s="72">
        <f>0</f>
        <v>0</v>
      </c>
      <c r="AD15" s="72">
        <f>0</f>
        <v>0</v>
      </c>
      <c r="AE15" s="72">
        <f>0</f>
        <v>0</v>
      </c>
      <c r="AF15" s="72">
        <f>0</f>
        <v>0</v>
      </c>
      <c r="AG15" s="72">
        <f>0</f>
        <v>0</v>
      </c>
      <c r="AH15" s="72">
        <f>0</f>
        <v>0</v>
      </c>
      <c r="AI15" s="72">
        <f>0</f>
        <v>0</v>
      </c>
      <c r="AJ15" s="72">
        <f>0</f>
        <v>0</v>
      </c>
      <c r="AK15" s="72">
        <f>0</f>
        <v>0</v>
      </c>
      <c r="AL15" s="73">
        <f>0</f>
        <v>0</v>
      </c>
    </row>
    <row r="16" spans="2:38" ht="14.25" outlineLevel="3">
      <c r="B16" s="65" t="s">
        <v>88</v>
      </c>
      <c r="C16" s="74" t="s">
        <v>89</v>
      </c>
      <c r="D16" s="75" t="s">
        <v>90</v>
      </c>
      <c r="E16" s="68">
        <f>2310121.95</f>
        <v>2310121.95</v>
      </c>
      <c r="F16" s="69">
        <f>2542942.62</f>
        <v>2542942.62</v>
      </c>
      <c r="G16" s="69">
        <f>2543066.9</f>
        <v>2543066.9</v>
      </c>
      <c r="H16" s="70">
        <f>2821894.06</f>
        <v>2821894.06</v>
      </c>
      <c r="I16" s="71">
        <f>1673722.29</f>
        <v>1673722.29</v>
      </c>
      <c r="J16" s="72">
        <f>1643472</f>
        <v>1643472</v>
      </c>
      <c r="K16" s="72">
        <f>1659907</f>
        <v>1659907</v>
      </c>
      <c r="L16" s="72">
        <f>1676506</f>
        <v>1676506</v>
      </c>
      <c r="M16" s="72">
        <f>1693271</f>
        <v>1693271</v>
      </c>
      <c r="N16" s="72">
        <f>1710204</f>
        <v>1710204</v>
      </c>
      <c r="O16" s="72">
        <f>1727306</f>
        <v>1727306</v>
      </c>
      <c r="P16" s="72">
        <f>1744579</f>
        <v>1744579</v>
      </c>
      <c r="Q16" s="72">
        <f>1762025</f>
        <v>1762025</v>
      </c>
      <c r="R16" s="72">
        <f>0</f>
        <v>0</v>
      </c>
      <c r="S16" s="72">
        <f>0</f>
        <v>0</v>
      </c>
      <c r="T16" s="72">
        <f>0</f>
        <v>0</v>
      </c>
      <c r="U16" s="72">
        <f>0</f>
        <v>0</v>
      </c>
      <c r="V16" s="72">
        <f>0</f>
        <v>0</v>
      </c>
      <c r="W16" s="72">
        <f>0</f>
        <v>0</v>
      </c>
      <c r="X16" s="72">
        <f>0</f>
        <v>0</v>
      </c>
      <c r="Y16" s="72">
        <f>0</f>
        <v>0</v>
      </c>
      <c r="Z16" s="72">
        <f>0</f>
        <v>0</v>
      </c>
      <c r="AA16" s="72">
        <f>0</f>
        <v>0</v>
      </c>
      <c r="AB16" s="72">
        <f>0</f>
        <v>0</v>
      </c>
      <c r="AC16" s="72">
        <f>0</f>
        <v>0</v>
      </c>
      <c r="AD16" s="72">
        <f>0</f>
        <v>0</v>
      </c>
      <c r="AE16" s="72">
        <f>0</f>
        <v>0</v>
      </c>
      <c r="AF16" s="72">
        <f>0</f>
        <v>0</v>
      </c>
      <c r="AG16" s="72">
        <f>0</f>
        <v>0</v>
      </c>
      <c r="AH16" s="72">
        <f>0</f>
        <v>0</v>
      </c>
      <c r="AI16" s="72">
        <f>0</f>
        <v>0</v>
      </c>
      <c r="AJ16" s="72">
        <f>0</f>
        <v>0</v>
      </c>
      <c r="AK16" s="72">
        <f>0</f>
        <v>0</v>
      </c>
      <c r="AL16" s="73">
        <f>0</f>
        <v>0</v>
      </c>
    </row>
    <row r="17" spans="1:38" ht="14.25" outlineLevel="2">
      <c r="A17" s="25" t="s">
        <v>71</v>
      </c>
      <c r="B17" s="65" t="s">
        <v>5</v>
      </c>
      <c r="C17" s="74" t="s">
        <v>91</v>
      </c>
      <c r="D17" s="67" t="s">
        <v>92</v>
      </c>
      <c r="E17" s="68">
        <f>2922021.33</f>
        <v>2922021.33</v>
      </c>
      <c r="F17" s="69">
        <f>2512576.99</f>
        <v>2512576.99</v>
      </c>
      <c r="G17" s="69">
        <f>2848910</f>
        <v>2848910</v>
      </c>
      <c r="H17" s="70">
        <f>1649974.18</f>
        <v>1649974.18</v>
      </c>
      <c r="I17" s="71">
        <f>635186</f>
        <v>635186</v>
      </c>
      <c r="J17" s="72">
        <f>598956</f>
        <v>598956</v>
      </c>
      <c r="K17" s="72">
        <f>604946</f>
        <v>604946</v>
      </c>
      <c r="L17" s="72">
        <f>610995</f>
        <v>610995</v>
      </c>
      <c r="M17" s="72">
        <f>617105</f>
        <v>617105</v>
      </c>
      <c r="N17" s="72">
        <f>623277</f>
        <v>623277</v>
      </c>
      <c r="O17" s="72">
        <f>629509</f>
        <v>629509</v>
      </c>
      <c r="P17" s="72">
        <f>635804</f>
        <v>635804</v>
      </c>
      <c r="Q17" s="72">
        <f>642162</f>
        <v>642162</v>
      </c>
      <c r="R17" s="72">
        <f>0</f>
        <v>0</v>
      </c>
      <c r="S17" s="72">
        <f>0</f>
        <v>0</v>
      </c>
      <c r="T17" s="72">
        <f>0</f>
        <v>0</v>
      </c>
      <c r="U17" s="72">
        <f>0</f>
        <v>0</v>
      </c>
      <c r="V17" s="72">
        <f>0</f>
        <v>0</v>
      </c>
      <c r="W17" s="72">
        <f>0</f>
        <v>0</v>
      </c>
      <c r="X17" s="72">
        <f>0</f>
        <v>0</v>
      </c>
      <c r="Y17" s="72">
        <f>0</f>
        <v>0</v>
      </c>
      <c r="Z17" s="72">
        <f>0</f>
        <v>0</v>
      </c>
      <c r="AA17" s="72">
        <f>0</f>
        <v>0</v>
      </c>
      <c r="AB17" s="72">
        <f>0</f>
        <v>0</v>
      </c>
      <c r="AC17" s="72">
        <f>0</f>
        <v>0</v>
      </c>
      <c r="AD17" s="72">
        <f>0</f>
        <v>0</v>
      </c>
      <c r="AE17" s="72">
        <f>0</f>
        <v>0</v>
      </c>
      <c r="AF17" s="72">
        <f>0</f>
        <v>0</v>
      </c>
      <c r="AG17" s="72">
        <f>0</f>
        <v>0</v>
      </c>
      <c r="AH17" s="72">
        <f>0</f>
        <v>0</v>
      </c>
      <c r="AI17" s="72">
        <f>0</f>
        <v>0</v>
      </c>
      <c r="AJ17" s="72">
        <f>0</f>
        <v>0</v>
      </c>
      <c r="AK17" s="72">
        <f>0</f>
        <v>0</v>
      </c>
      <c r="AL17" s="73">
        <f>0</f>
        <v>0</v>
      </c>
    </row>
    <row r="18" spans="1:38" ht="14.25" outlineLevel="3">
      <c r="A18" s="25" t="s">
        <v>71</v>
      </c>
      <c r="B18" s="65" t="s">
        <v>6</v>
      </c>
      <c r="C18" s="74" t="s">
        <v>93</v>
      </c>
      <c r="D18" s="75" t="s">
        <v>94</v>
      </c>
      <c r="E18" s="68">
        <f>252913.34</f>
        <v>252913.34</v>
      </c>
      <c r="F18" s="69">
        <f>1132047.95</f>
        <v>1132047.95</v>
      </c>
      <c r="G18" s="69">
        <f>1708398</f>
        <v>1708398</v>
      </c>
      <c r="H18" s="70">
        <f>496824.43</f>
        <v>496824.43</v>
      </c>
      <c r="I18" s="71">
        <f>460000</f>
        <v>460000</v>
      </c>
      <c r="J18" s="72">
        <f>464600</f>
        <v>464600</v>
      </c>
      <c r="K18" s="72">
        <f>469246</f>
        <v>469246</v>
      </c>
      <c r="L18" s="72">
        <f>473938</f>
        <v>473938</v>
      </c>
      <c r="M18" s="72">
        <f>478678</f>
        <v>478678</v>
      </c>
      <c r="N18" s="72">
        <f>483465</f>
        <v>483465</v>
      </c>
      <c r="O18" s="72">
        <f>488230</f>
        <v>488230</v>
      </c>
      <c r="P18" s="72">
        <f>493182</f>
        <v>493182</v>
      </c>
      <c r="Q18" s="72">
        <f>498114</f>
        <v>498114</v>
      </c>
      <c r="R18" s="72">
        <f>0</f>
        <v>0</v>
      </c>
      <c r="S18" s="72">
        <f>0</f>
        <v>0</v>
      </c>
      <c r="T18" s="72">
        <f>0</f>
        <v>0</v>
      </c>
      <c r="U18" s="72">
        <f>0</f>
        <v>0</v>
      </c>
      <c r="V18" s="72">
        <f>0</f>
        <v>0</v>
      </c>
      <c r="W18" s="72">
        <f>0</f>
        <v>0</v>
      </c>
      <c r="X18" s="72">
        <f>0</f>
        <v>0</v>
      </c>
      <c r="Y18" s="72">
        <f>0</f>
        <v>0</v>
      </c>
      <c r="Z18" s="72">
        <f>0</f>
        <v>0</v>
      </c>
      <c r="AA18" s="72">
        <f>0</f>
        <v>0</v>
      </c>
      <c r="AB18" s="72">
        <f>0</f>
        <v>0</v>
      </c>
      <c r="AC18" s="72">
        <f>0</f>
        <v>0</v>
      </c>
      <c r="AD18" s="72">
        <f>0</f>
        <v>0</v>
      </c>
      <c r="AE18" s="72">
        <f>0</f>
        <v>0</v>
      </c>
      <c r="AF18" s="72">
        <f>0</f>
        <v>0</v>
      </c>
      <c r="AG18" s="72">
        <f>0</f>
        <v>0</v>
      </c>
      <c r="AH18" s="72">
        <f>0</f>
        <v>0</v>
      </c>
      <c r="AI18" s="72">
        <f>0</f>
        <v>0</v>
      </c>
      <c r="AJ18" s="72">
        <f>0</f>
        <v>0</v>
      </c>
      <c r="AK18" s="72">
        <f>0</f>
        <v>0</v>
      </c>
      <c r="AL18" s="73">
        <f>0</f>
        <v>0</v>
      </c>
    </row>
    <row r="19" spans="2:38" ht="14.25" outlineLevel="3">
      <c r="B19" s="65" t="s">
        <v>7</v>
      </c>
      <c r="C19" s="74" t="s">
        <v>95</v>
      </c>
      <c r="D19" s="75" t="s">
        <v>96</v>
      </c>
      <c r="E19" s="68">
        <f>2345848.47</f>
        <v>2345848.47</v>
      </c>
      <c r="F19" s="69">
        <f>1351580.04</f>
        <v>1351580.04</v>
      </c>
      <c r="G19" s="69">
        <f>1130512</f>
        <v>1130512</v>
      </c>
      <c r="H19" s="70">
        <f>1050638.75</f>
        <v>1050638.75</v>
      </c>
      <c r="I19" s="71">
        <f>75186</f>
        <v>75186</v>
      </c>
      <c r="J19" s="72">
        <f>0</f>
        <v>0</v>
      </c>
      <c r="K19" s="72">
        <f>0</f>
        <v>0</v>
      </c>
      <c r="L19" s="72">
        <f>0</f>
        <v>0</v>
      </c>
      <c r="M19" s="72">
        <f>0</f>
        <v>0</v>
      </c>
      <c r="N19" s="72">
        <f>0</f>
        <v>0</v>
      </c>
      <c r="O19" s="72">
        <f>0</f>
        <v>0</v>
      </c>
      <c r="P19" s="72">
        <f>0</f>
        <v>0</v>
      </c>
      <c r="Q19" s="72">
        <f>0</f>
        <v>0</v>
      </c>
      <c r="R19" s="72">
        <f>0</f>
        <v>0</v>
      </c>
      <c r="S19" s="72">
        <f>0</f>
        <v>0</v>
      </c>
      <c r="T19" s="72">
        <f>0</f>
        <v>0</v>
      </c>
      <c r="U19" s="72">
        <f>0</f>
        <v>0</v>
      </c>
      <c r="V19" s="72">
        <f>0</f>
        <v>0</v>
      </c>
      <c r="W19" s="72">
        <f>0</f>
        <v>0</v>
      </c>
      <c r="X19" s="72">
        <f>0</f>
        <v>0</v>
      </c>
      <c r="Y19" s="72">
        <f>0</f>
        <v>0</v>
      </c>
      <c r="Z19" s="72">
        <f>0</f>
        <v>0</v>
      </c>
      <c r="AA19" s="72">
        <f>0</f>
        <v>0</v>
      </c>
      <c r="AB19" s="72">
        <f>0</f>
        <v>0</v>
      </c>
      <c r="AC19" s="72">
        <f>0</f>
        <v>0</v>
      </c>
      <c r="AD19" s="72">
        <f>0</f>
        <v>0</v>
      </c>
      <c r="AE19" s="72">
        <f>0</f>
        <v>0</v>
      </c>
      <c r="AF19" s="72">
        <f>0</f>
        <v>0</v>
      </c>
      <c r="AG19" s="72">
        <f>0</f>
        <v>0</v>
      </c>
      <c r="AH19" s="72">
        <f>0</f>
        <v>0</v>
      </c>
      <c r="AI19" s="72">
        <f>0</f>
        <v>0</v>
      </c>
      <c r="AJ19" s="72">
        <f>0</f>
        <v>0</v>
      </c>
      <c r="AK19" s="72">
        <f>0</f>
        <v>0</v>
      </c>
      <c r="AL19" s="73">
        <f>0</f>
        <v>0</v>
      </c>
    </row>
    <row r="20" spans="1:39" ht="15" outlineLevel="1">
      <c r="A20" s="25" t="s">
        <v>71</v>
      </c>
      <c r="B20" s="55">
        <v>2</v>
      </c>
      <c r="C20" s="56" t="s">
        <v>97</v>
      </c>
      <c r="D20" s="57" t="s">
        <v>97</v>
      </c>
      <c r="E20" s="58">
        <f>24474004.48</f>
        <v>24474004.48</v>
      </c>
      <c r="F20" s="59">
        <f>19823836.72</f>
        <v>19823836.72</v>
      </c>
      <c r="G20" s="59">
        <f>20248830.9</f>
        <v>20248830.9</v>
      </c>
      <c r="H20" s="60">
        <f>17803623.72</f>
        <v>17803623.72</v>
      </c>
      <c r="I20" s="61">
        <f>20864924.19</f>
        <v>20864924.19</v>
      </c>
      <c r="J20" s="62">
        <f>17620346</f>
        <v>17620346</v>
      </c>
      <c r="K20" s="62">
        <f>17816194</f>
        <v>17816194</v>
      </c>
      <c r="L20" s="62">
        <f>18014001</f>
        <v>18014001</v>
      </c>
      <c r="M20" s="62">
        <f>18213786</f>
        <v>18213786</v>
      </c>
      <c r="N20" s="62">
        <f>18455570</f>
        <v>18455570</v>
      </c>
      <c r="O20" s="62">
        <f>19562720.46</f>
        <v>19562720.46</v>
      </c>
      <c r="P20" s="62">
        <f>20419725</f>
        <v>20419725</v>
      </c>
      <c r="Q20" s="62">
        <f>20727622</f>
        <v>20727622</v>
      </c>
      <c r="R20" s="62">
        <f>0</f>
        <v>0</v>
      </c>
      <c r="S20" s="62">
        <f>0</f>
        <v>0</v>
      </c>
      <c r="T20" s="62">
        <f>0</f>
        <v>0</v>
      </c>
      <c r="U20" s="62">
        <f>0</f>
        <v>0</v>
      </c>
      <c r="V20" s="62">
        <f>0</f>
        <v>0</v>
      </c>
      <c r="W20" s="62">
        <f>0</f>
        <v>0</v>
      </c>
      <c r="X20" s="62">
        <f>0</f>
        <v>0</v>
      </c>
      <c r="Y20" s="62">
        <f>0</f>
        <v>0</v>
      </c>
      <c r="Z20" s="62">
        <f>0</f>
        <v>0</v>
      </c>
      <c r="AA20" s="62">
        <f>0</f>
        <v>0</v>
      </c>
      <c r="AB20" s="62">
        <f>0</f>
        <v>0</v>
      </c>
      <c r="AC20" s="62">
        <f>0</f>
        <v>0</v>
      </c>
      <c r="AD20" s="62">
        <f>0</f>
        <v>0</v>
      </c>
      <c r="AE20" s="62">
        <f>0</f>
        <v>0</v>
      </c>
      <c r="AF20" s="62">
        <f>0</f>
        <v>0</v>
      </c>
      <c r="AG20" s="62">
        <f>0</f>
        <v>0</v>
      </c>
      <c r="AH20" s="62">
        <f>0</f>
        <v>0</v>
      </c>
      <c r="AI20" s="62">
        <f>0</f>
        <v>0</v>
      </c>
      <c r="AJ20" s="62">
        <f>0</f>
        <v>0</v>
      </c>
      <c r="AK20" s="62">
        <f>0</f>
        <v>0</v>
      </c>
      <c r="AL20" s="63">
        <f>0</f>
        <v>0</v>
      </c>
      <c r="AM20" s="64"/>
    </row>
    <row r="21" spans="1:38" ht="14.25" outlineLevel="2">
      <c r="A21" s="25" t="s">
        <v>71</v>
      </c>
      <c r="B21" s="65" t="s">
        <v>98</v>
      </c>
      <c r="C21" s="66" t="s">
        <v>99</v>
      </c>
      <c r="D21" s="67" t="s">
        <v>100</v>
      </c>
      <c r="E21" s="68">
        <f>15684142.16</f>
        <v>15684142.16</v>
      </c>
      <c r="F21" s="69">
        <f>16022654.21</f>
        <v>16022654.21</v>
      </c>
      <c r="G21" s="69">
        <f>17520895.99</f>
        <v>17520895.99</v>
      </c>
      <c r="H21" s="70">
        <f>16171378.9</f>
        <v>16171378.9</v>
      </c>
      <c r="I21" s="71">
        <f>16936334.09</f>
        <v>16936334.09</v>
      </c>
      <c r="J21" s="72">
        <f>14593472</f>
        <v>14593472</v>
      </c>
      <c r="K21" s="72">
        <f>14666440</f>
        <v>14666440</v>
      </c>
      <c r="L21" s="72">
        <f>14739772</f>
        <v>14739772</v>
      </c>
      <c r="M21" s="72">
        <f>14813471</f>
        <v>14813471</v>
      </c>
      <c r="N21" s="72">
        <f>14887539</f>
        <v>14887539</v>
      </c>
      <c r="O21" s="72">
        <f>14961976</f>
        <v>14961976</v>
      </c>
      <c r="P21" s="72">
        <f>15036786</f>
        <v>15036786</v>
      </c>
      <c r="Q21" s="72">
        <f>15111970</f>
        <v>15111970</v>
      </c>
      <c r="R21" s="72">
        <f>0</f>
        <v>0</v>
      </c>
      <c r="S21" s="72">
        <f>0</f>
        <v>0</v>
      </c>
      <c r="T21" s="72">
        <f>0</f>
        <v>0</v>
      </c>
      <c r="U21" s="72">
        <f>0</f>
        <v>0</v>
      </c>
      <c r="V21" s="72">
        <f>0</f>
        <v>0</v>
      </c>
      <c r="W21" s="72">
        <f>0</f>
        <v>0</v>
      </c>
      <c r="X21" s="72">
        <f>0</f>
        <v>0</v>
      </c>
      <c r="Y21" s="72">
        <f>0</f>
        <v>0</v>
      </c>
      <c r="Z21" s="72">
        <f>0</f>
        <v>0</v>
      </c>
      <c r="AA21" s="72">
        <f>0</f>
        <v>0</v>
      </c>
      <c r="AB21" s="72">
        <f>0</f>
        <v>0</v>
      </c>
      <c r="AC21" s="72">
        <f>0</f>
        <v>0</v>
      </c>
      <c r="AD21" s="72">
        <f>0</f>
        <v>0</v>
      </c>
      <c r="AE21" s="72">
        <f>0</f>
        <v>0</v>
      </c>
      <c r="AF21" s="72">
        <f>0</f>
        <v>0</v>
      </c>
      <c r="AG21" s="72">
        <f>0</f>
        <v>0</v>
      </c>
      <c r="AH21" s="72">
        <f>0</f>
        <v>0</v>
      </c>
      <c r="AI21" s="72">
        <f>0</f>
        <v>0</v>
      </c>
      <c r="AJ21" s="72">
        <f>0</f>
        <v>0</v>
      </c>
      <c r="AK21" s="72">
        <f>0</f>
        <v>0</v>
      </c>
      <c r="AL21" s="73">
        <f>0</f>
        <v>0</v>
      </c>
    </row>
    <row r="22" spans="1:38" ht="14.25" outlineLevel="3">
      <c r="A22" s="25" t="s">
        <v>71</v>
      </c>
      <c r="B22" s="65" t="s">
        <v>101</v>
      </c>
      <c r="C22" s="74" t="s">
        <v>102</v>
      </c>
      <c r="D22" s="75" t="s">
        <v>103</v>
      </c>
      <c r="E22" s="68">
        <f>0</f>
        <v>0</v>
      </c>
      <c r="F22" s="69">
        <f>0</f>
        <v>0</v>
      </c>
      <c r="G22" s="69">
        <f>0</f>
        <v>0</v>
      </c>
      <c r="H22" s="70">
        <f>0</f>
        <v>0</v>
      </c>
      <c r="I22" s="71">
        <f>0</f>
        <v>0</v>
      </c>
      <c r="J22" s="72">
        <f>0</f>
        <v>0</v>
      </c>
      <c r="K22" s="72">
        <f>0</f>
        <v>0</v>
      </c>
      <c r="L22" s="72">
        <f>0</f>
        <v>0</v>
      </c>
      <c r="M22" s="72">
        <f>0</f>
        <v>0</v>
      </c>
      <c r="N22" s="72">
        <f>0</f>
        <v>0</v>
      </c>
      <c r="O22" s="72">
        <f>0</f>
        <v>0</v>
      </c>
      <c r="P22" s="72">
        <f>0</f>
        <v>0</v>
      </c>
      <c r="Q22" s="72">
        <f>0</f>
        <v>0</v>
      </c>
      <c r="R22" s="72">
        <f>0</f>
        <v>0</v>
      </c>
      <c r="S22" s="72">
        <f>0</f>
        <v>0</v>
      </c>
      <c r="T22" s="72">
        <f>0</f>
        <v>0</v>
      </c>
      <c r="U22" s="72">
        <f>0</f>
        <v>0</v>
      </c>
      <c r="V22" s="72">
        <f>0</f>
        <v>0</v>
      </c>
      <c r="W22" s="72">
        <f>0</f>
        <v>0</v>
      </c>
      <c r="X22" s="72">
        <f>0</f>
        <v>0</v>
      </c>
      <c r="Y22" s="72">
        <f>0</f>
        <v>0</v>
      </c>
      <c r="Z22" s="72">
        <f>0</f>
        <v>0</v>
      </c>
      <c r="AA22" s="72">
        <f>0</f>
        <v>0</v>
      </c>
      <c r="AB22" s="72">
        <f>0</f>
        <v>0</v>
      </c>
      <c r="AC22" s="72">
        <f>0</f>
        <v>0</v>
      </c>
      <c r="AD22" s="72">
        <f>0</f>
        <v>0</v>
      </c>
      <c r="AE22" s="72">
        <f>0</f>
        <v>0</v>
      </c>
      <c r="AF22" s="72">
        <f>0</f>
        <v>0</v>
      </c>
      <c r="AG22" s="72">
        <f>0</f>
        <v>0</v>
      </c>
      <c r="AH22" s="72">
        <f>0</f>
        <v>0</v>
      </c>
      <c r="AI22" s="72">
        <f>0</f>
        <v>0</v>
      </c>
      <c r="AJ22" s="72">
        <f>0</f>
        <v>0</v>
      </c>
      <c r="AK22" s="72">
        <f>0</f>
        <v>0</v>
      </c>
      <c r="AL22" s="73">
        <f>0</f>
        <v>0</v>
      </c>
    </row>
    <row r="23" spans="1:38" ht="24" outlineLevel="4">
      <c r="A23" s="25" t="s">
        <v>71</v>
      </c>
      <c r="B23" s="65" t="s">
        <v>104</v>
      </c>
      <c r="C23" s="74" t="s">
        <v>105</v>
      </c>
      <c r="D23" s="76" t="s">
        <v>106</v>
      </c>
      <c r="E23" s="68">
        <f>0</f>
        <v>0</v>
      </c>
      <c r="F23" s="69">
        <f>0</f>
        <v>0</v>
      </c>
      <c r="G23" s="69">
        <f>0</f>
        <v>0</v>
      </c>
      <c r="H23" s="70">
        <f>0</f>
        <v>0</v>
      </c>
      <c r="I23" s="71">
        <f>0</f>
        <v>0</v>
      </c>
      <c r="J23" s="72">
        <f>0</f>
        <v>0</v>
      </c>
      <c r="K23" s="72">
        <f>0</f>
        <v>0</v>
      </c>
      <c r="L23" s="72">
        <f>0</f>
        <v>0</v>
      </c>
      <c r="M23" s="72">
        <f>0</f>
        <v>0</v>
      </c>
      <c r="N23" s="72">
        <f>0</f>
        <v>0</v>
      </c>
      <c r="O23" s="72">
        <f>0</f>
        <v>0</v>
      </c>
      <c r="P23" s="72">
        <f>0</f>
        <v>0</v>
      </c>
      <c r="Q23" s="72">
        <f>0</f>
        <v>0</v>
      </c>
      <c r="R23" s="72">
        <f>0</f>
        <v>0</v>
      </c>
      <c r="S23" s="72">
        <f>0</f>
        <v>0</v>
      </c>
      <c r="T23" s="72">
        <f>0</f>
        <v>0</v>
      </c>
      <c r="U23" s="72">
        <f>0</f>
        <v>0</v>
      </c>
      <c r="V23" s="72">
        <f>0</f>
        <v>0</v>
      </c>
      <c r="W23" s="72">
        <f>0</f>
        <v>0</v>
      </c>
      <c r="X23" s="72">
        <f>0</f>
        <v>0</v>
      </c>
      <c r="Y23" s="72">
        <f>0</f>
        <v>0</v>
      </c>
      <c r="Z23" s="72">
        <f>0</f>
        <v>0</v>
      </c>
      <c r="AA23" s="72">
        <f>0</f>
        <v>0</v>
      </c>
      <c r="AB23" s="72">
        <f>0</f>
        <v>0</v>
      </c>
      <c r="AC23" s="72">
        <f>0</f>
        <v>0</v>
      </c>
      <c r="AD23" s="72">
        <f>0</f>
        <v>0</v>
      </c>
      <c r="AE23" s="72">
        <f>0</f>
        <v>0</v>
      </c>
      <c r="AF23" s="72">
        <f>0</f>
        <v>0</v>
      </c>
      <c r="AG23" s="72">
        <f>0</f>
        <v>0</v>
      </c>
      <c r="AH23" s="72">
        <f>0</f>
        <v>0</v>
      </c>
      <c r="AI23" s="72">
        <f>0</f>
        <v>0</v>
      </c>
      <c r="AJ23" s="72">
        <f>0</f>
        <v>0</v>
      </c>
      <c r="AK23" s="72">
        <f>0</f>
        <v>0</v>
      </c>
      <c r="AL23" s="73">
        <f>0</f>
        <v>0</v>
      </c>
    </row>
    <row r="24" spans="2:38" ht="36" outlineLevel="3">
      <c r="B24" s="65" t="s">
        <v>107</v>
      </c>
      <c r="C24" s="74" t="s">
        <v>108</v>
      </c>
      <c r="D24" s="75" t="s">
        <v>109</v>
      </c>
      <c r="E24" s="68">
        <f>0</f>
        <v>0</v>
      </c>
      <c r="F24" s="69">
        <f>0</f>
        <v>0</v>
      </c>
      <c r="G24" s="69">
        <f>0</f>
        <v>0</v>
      </c>
      <c r="H24" s="70">
        <f>0</f>
        <v>0</v>
      </c>
      <c r="I24" s="71">
        <f>0</f>
        <v>0</v>
      </c>
      <c r="J24" s="72">
        <f>0</f>
        <v>0</v>
      </c>
      <c r="K24" s="72">
        <f>0</f>
        <v>0</v>
      </c>
      <c r="L24" s="72">
        <f>0</f>
        <v>0</v>
      </c>
      <c r="M24" s="72">
        <f>0</f>
        <v>0</v>
      </c>
      <c r="N24" s="72">
        <f>0</f>
        <v>0</v>
      </c>
      <c r="O24" s="72">
        <f>0</f>
        <v>0</v>
      </c>
      <c r="P24" s="72">
        <f>0</f>
        <v>0</v>
      </c>
      <c r="Q24" s="72">
        <f>0</f>
        <v>0</v>
      </c>
      <c r="R24" s="72">
        <f>0</f>
        <v>0</v>
      </c>
      <c r="S24" s="72">
        <f>0</f>
        <v>0</v>
      </c>
      <c r="T24" s="72">
        <f>0</f>
        <v>0</v>
      </c>
      <c r="U24" s="72">
        <f>0</f>
        <v>0</v>
      </c>
      <c r="V24" s="72">
        <f>0</f>
        <v>0</v>
      </c>
      <c r="W24" s="72">
        <f>0</f>
        <v>0</v>
      </c>
      <c r="X24" s="72">
        <f>0</f>
        <v>0</v>
      </c>
      <c r="Y24" s="72">
        <f>0</f>
        <v>0</v>
      </c>
      <c r="Z24" s="72">
        <f>0</f>
        <v>0</v>
      </c>
      <c r="AA24" s="72">
        <f>0</f>
        <v>0</v>
      </c>
      <c r="AB24" s="72">
        <f>0</f>
        <v>0</v>
      </c>
      <c r="AC24" s="72">
        <f>0</f>
        <v>0</v>
      </c>
      <c r="AD24" s="72">
        <f>0</f>
        <v>0</v>
      </c>
      <c r="AE24" s="72">
        <f>0</f>
        <v>0</v>
      </c>
      <c r="AF24" s="72">
        <f>0</f>
        <v>0</v>
      </c>
      <c r="AG24" s="72">
        <f>0</f>
        <v>0</v>
      </c>
      <c r="AH24" s="72">
        <f>0</f>
        <v>0</v>
      </c>
      <c r="AI24" s="72">
        <f>0</f>
        <v>0</v>
      </c>
      <c r="AJ24" s="72">
        <f>0</f>
        <v>0</v>
      </c>
      <c r="AK24" s="72">
        <f>0</f>
        <v>0</v>
      </c>
      <c r="AL24" s="73">
        <f>0</f>
        <v>0</v>
      </c>
    </row>
    <row r="25" spans="1:38" ht="14.25" outlineLevel="3">
      <c r="A25" s="25" t="s">
        <v>71</v>
      </c>
      <c r="B25" s="65" t="s">
        <v>110</v>
      </c>
      <c r="C25" s="74" t="s">
        <v>111</v>
      </c>
      <c r="D25" s="75" t="s">
        <v>112</v>
      </c>
      <c r="E25" s="68">
        <f>1118360.5</f>
        <v>1118360.5</v>
      </c>
      <c r="F25" s="69">
        <f>907630.37</f>
        <v>907630.37</v>
      </c>
      <c r="G25" s="69">
        <f>774500</f>
        <v>774500</v>
      </c>
      <c r="H25" s="70">
        <f>688397.74</f>
        <v>688397.74</v>
      </c>
      <c r="I25" s="71">
        <f>473703</f>
        <v>473703</v>
      </c>
      <c r="J25" s="72">
        <f>357545</f>
        <v>357545</v>
      </c>
      <c r="K25" s="72">
        <f>268159</f>
        <v>268159</v>
      </c>
      <c r="L25" s="72">
        <f>201119</f>
        <v>201119</v>
      </c>
      <c r="M25" s="72">
        <f>150840</f>
        <v>150840</v>
      </c>
      <c r="N25" s="72">
        <f>113130</f>
        <v>113130</v>
      </c>
      <c r="O25" s="72">
        <f>84845</f>
        <v>84845</v>
      </c>
      <c r="P25" s="72">
        <f>63635</f>
        <v>63635</v>
      </c>
      <c r="Q25" s="72">
        <f>47727</f>
        <v>47727</v>
      </c>
      <c r="R25" s="72">
        <f>0</f>
        <v>0</v>
      </c>
      <c r="S25" s="72">
        <f>0</f>
        <v>0</v>
      </c>
      <c r="T25" s="72">
        <f>0</f>
        <v>0</v>
      </c>
      <c r="U25" s="72">
        <f>0</f>
        <v>0</v>
      </c>
      <c r="V25" s="72">
        <f>0</f>
        <v>0</v>
      </c>
      <c r="W25" s="72">
        <f>0</f>
        <v>0</v>
      </c>
      <c r="X25" s="72">
        <f>0</f>
        <v>0</v>
      </c>
      <c r="Y25" s="72">
        <f>0</f>
        <v>0</v>
      </c>
      <c r="Z25" s="72">
        <f>0</f>
        <v>0</v>
      </c>
      <c r="AA25" s="72">
        <f>0</f>
        <v>0</v>
      </c>
      <c r="AB25" s="72">
        <f>0</f>
        <v>0</v>
      </c>
      <c r="AC25" s="72">
        <f>0</f>
        <v>0</v>
      </c>
      <c r="AD25" s="72">
        <f>0</f>
        <v>0</v>
      </c>
      <c r="AE25" s="72">
        <f>0</f>
        <v>0</v>
      </c>
      <c r="AF25" s="72">
        <f>0</f>
        <v>0</v>
      </c>
      <c r="AG25" s="72">
        <f>0</f>
        <v>0</v>
      </c>
      <c r="AH25" s="72">
        <f>0</f>
        <v>0</v>
      </c>
      <c r="AI25" s="72">
        <f>0</f>
        <v>0</v>
      </c>
      <c r="AJ25" s="72">
        <f>0</f>
        <v>0</v>
      </c>
      <c r="AK25" s="72">
        <f>0</f>
        <v>0</v>
      </c>
      <c r="AL25" s="73">
        <f>0</f>
        <v>0</v>
      </c>
    </row>
    <row r="26" spans="1:38" ht="14.25" outlineLevel="4">
      <c r="A26" s="25" t="s">
        <v>71</v>
      </c>
      <c r="B26" s="65" t="s">
        <v>113</v>
      </c>
      <c r="C26" s="74" t="s">
        <v>114</v>
      </c>
      <c r="D26" s="76" t="s">
        <v>115</v>
      </c>
      <c r="E26" s="68">
        <f>1118360.5</f>
        <v>1118360.5</v>
      </c>
      <c r="F26" s="69">
        <f>907630.37</f>
        <v>907630.37</v>
      </c>
      <c r="G26" s="69">
        <f>774500</f>
        <v>774500</v>
      </c>
      <c r="H26" s="70">
        <f>688397.74</f>
        <v>688397.74</v>
      </c>
      <c r="I26" s="71">
        <f>473703</f>
        <v>473703</v>
      </c>
      <c r="J26" s="72">
        <f>357545</f>
        <v>357545</v>
      </c>
      <c r="K26" s="72">
        <f>268159</f>
        <v>268159</v>
      </c>
      <c r="L26" s="72">
        <f>201119</f>
        <v>201119</v>
      </c>
      <c r="M26" s="72">
        <f>150840</f>
        <v>150840</v>
      </c>
      <c r="N26" s="72">
        <f>113130</f>
        <v>113130</v>
      </c>
      <c r="O26" s="72">
        <f>84845</f>
        <v>84845</v>
      </c>
      <c r="P26" s="72">
        <f>63635</f>
        <v>63635</v>
      </c>
      <c r="Q26" s="72">
        <f>47727</f>
        <v>47727</v>
      </c>
      <c r="R26" s="72">
        <f>0</f>
        <v>0</v>
      </c>
      <c r="S26" s="72">
        <f>0</f>
        <v>0</v>
      </c>
      <c r="T26" s="72">
        <f>0</f>
        <v>0</v>
      </c>
      <c r="U26" s="72">
        <f>0</f>
        <v>0</v>
      </c>
      <c r="V26" s="72">
        <f>0</f>
        <v>0</v>
      </c>
      <c r="W26" s="72">
        <f>0</f>
        <v>0</v>
      </c>
      <c r="X26" s="72">
        <f>0</f>
        <v>0</v>
      </c>
      <c r="Y26" s="72">
        <f>0</f>
        <v>0</v>
      </c>
      <c r="Z26" s="72">
        <f>0</f>
        <v>0</v>
      </c>
      <c r="AA26" s="72">
        <f>0</f>
        <v>0</v>
      </c>
      <c r="AB26" s="72">
        <f>0</f>
        <v>0</v>
      </c>
      <c r="AC26" s="72">
        <f>0</f>
        <v>0</v>
      </c>
      <c r="AD26" s="72">
        <f>0</f>
        <v>0</v>
      </c>
      <c r="AE26" s="72">
        <f>0</f>
        <v>0</v>
      </c>
      <c r="AF26" s="72">
        <f>0</f>
        <v>0</v>
      </c>
      <c r="AG26" s="72">
        <f>0</f>
        <v>0</v>
      </c>
      <c r="AH26" s="72">
        <f>0</f>
        <v>0</v>
      </c>
      <c r="AI26" s="72">
        <f>0</f>
        <v>0</v>
      </c>
      <c r="AJ26" s="72">
        <f>0</f>
        <v>0</v>
      </c>
      <c r="AK26" s="72">
        <f>0</f>
        <v>0</v>
      </c>
      <c r="AL26" s="73">
        <f>0</f>
        <v>0</v>
      </c>
    </row>
    <row r="27" spans="1:38" ht="48.75" customHeight="1" outlineLevel="5">
      <c r="A27" s="25" t="s">
        <v>71</v>
      </c>
      <c r="B27" s="65" t="s">
        <v>116</v>
      </c>
      <c r="C27" s="74" t="s">
        <v>117</v>
      </c>
      <c r="D27" s="77" t="s">
        <v>118</v>
      </c>
      <c r="E27" s="68">
        <f>0</f>
        <v>0</v>
      </c>
      <c r="F27" s="69">
        <f>0</f>
        <v>0</v>
      </c>
      <c r="G27" s="69">
        <f>376613.12</f>
        <v>376613.12</v>
      </c>
      <c r="H27" s="70">
        <f>333054.5</f>
        <v>333054.5</v>
      </c>
      <c r="I27" s="71">
        <f>115070</f>
        <v>115070</v>
      </c>
      <c r="J27" s="72">
        <f>0</f>
        <v>0</v>
      </c>
      <c r="K27" s="72">
        <f>0</f>
        <v>0</v>
      </c>
      <c r="L27" s="72">
        <f>0</f>
        <v>0</v>
      </c>
      <c r="M27" s="72">
        <f>0</f>
        <v>0</v>
      </c>
      <c r="N27" s="72">
        <f>0</f>
        <v>0</v>
      </c>
      <c r="O27" s="72">
        <f>0</f>
        <v>0</v>
      </c>
      <c r="P27" s="72">
        <f>0</f>
        <v>0</v>
      </c>
      <c r="Q27" s="72">
        <f>0</f>
        <v>0</v>
      </c>
      <c r="R27" s="72">
        <f>0</f>
        <v>0</v>
      </c>
      <c r="S27" s="72">
        <f>0</f>
        <v>0</v>
      </c>
      <c r="T27" s="72">
        <f>0</f>
        <v>0</v>
      </c>
      <c r="U27" s="72">
        <f>0</f>
        <v>0</v>
      </c>
      <c r="V27" s="72">
        <f>0</f>
        <v>0</v>
      </c>
      <c r="W27" s="72">
        <f>0</f>
        <v>0</v>
      </c>
      <c r="X27" s="72">
        <f>0</f>
        <v>0</v>
      </c>
      <c r="Y27" s="72">
        <f>0</f>
        <v>0</v>
      </c>
      <c r="Z27" s="72">
        <f>0</f>
        <v>0</v>
      </c>
      <c r="AA27" s="72">
        <f>0</f>
        <v>0</v>
      </c>
      <c r="AB27" s="72">
        <f>0</f>
        <v>0</v>
      </c>
      <c r="AC27" s="72">
        <f>0</f>
        <v>0</v>
      </c>
      <c r="AD27" s="72">
        <f>0</f>
        <v>0</v>
      </c>
      <c r="AE27" s="72">
        <f>0</f>
        <v>0</v>
      </c>
      <c r="AF27" s="72">
        <f>0</f>
        <v>0</v>
      </c>
      <c r="AG27" s="72">
        <f>0</f>
        <v>0</v>
      </c>
      <c r="AH27" s="72">
        <f>0</f>
        <v>0</v>
      </c>
      <c r="AI27" s="72">
        <f>0</f>
        <v>0</v>
      </c>
      <c r="AJ27" s="72">
        <f>0</f>
        <v>0</v>
      </c>
      <c r="AK27" s="72">
        <f>0</f>
        <v>0</v>
      </c>
      <c r="AL27" s="73">
        <f>0</f>
        <v>0</v>
      </c>
    </row>
    <row r="28" spans="1:38" ht="29.25" customHeight="1" outlineLevel="5">
      <c r="A28" s="25" t="s">
        <v>71</v>
      </c>
      <c r="B28" s="65" t="s">
        <v>119</v>
      </c>
      <c r="C28" s="74" t="s">
        <v>120</v>
      </c>
      <c r="D28" s="77" t="s">
        <v>121</v>
      </c>
      <c r="E28" s="68">
        <f>0</f>
        <v>0</v>
      </c>
      <c r="F28" s="69">
        <f>0</f>
        <v>0</v>
      </c>
      <c r="G28" s="69">
        <f>0</f>
        <v>0</v>
      </c>
      <c r="H28" s="70">
        <f>0</f>
        <v>0</v>
      </c>
      <c r="I28" s="71">
        <f>0</f>
        <v>0</v>
      </c>
      <c r="J28" s="72">
        <f>0</f>
        <v>0</v>
      </c>
      <c r="K28" s="72">
        <f>0</f>
        <v>0</v>
      </c>
      <c r="L28" s="72">
        <f>0</f>
        <v>0</v>
      </c>
      <c r="M28" s="72">
        <f>0</f>
        <v>0</v>
      </c>
      <c r="N28" s="72">
        <f>0</f>
        <v>0</v>
      </c>
      <c r="O28" s="72">
        <f>0</f>
        <v>0</v>
      </c>
      <c r="P28" s="72">
        <f>0</f>
        <v>0</v>
      </c>
      <c r="Q28" s="72">
        <f>0</f>
        <v>0</v>
      </c>
      <c r="R28" s="72">
        <f>0</f>
        <v>0</v>
      </c>
      <c r="S28" s="72">
        <f>0</f>
        <v>0</v>
      </c>
      <c r="T28" s="72">
        <f>0</f>
        <v>0</v>
      </c>
      <c r="U28" s="72">
        <f>0</f>
        <v>0</v>
      </c>
      <c r="V28" s="72">
        <f>0</f>
        <v>0</v>
      </c>
      <c r="W28" s="72">
        <f>0</f>
        <v>0</v>
      </c>
      <c r="X28" s="72">
        <f>0</f>
        <v>0</v>
      </c>
      <c r="Y28" s="72">
        <f>0</f>
        <v>0</v>
      </c>
      <c r="Z28" s="72">
        <f>0</f>
        <v>0</v>
      </c>
      <c r="AA28" s="72">
        <f>0</f>
        <v>0</v>
      </c>
      <c r="AB28" s="72">
        <f>0</f>
        <v>0</v>
      </c>
      <c r="AC28" s="72">
        <f>0</f>
        <v>0</v>
      </c>
      <c r="AD28" s="72">
        <f>0</f>
        <v>0</v>
      </c>
      <c r="AE28" s="72">
        <f>0</f>
        <v>0</v>
      </c>
      <c r="AF28" s="72">
        <f>0</f>
        <v>0</v>
      </c>
      <c r="AG28" s="72">
        <f>0</f>
        <v>0</v>
      </c>
      <c r="AH28" s="72">
        <f>0</f>
        <v>0</v>
      </c>
      <c r="AI28" s="72">
        <f>0</f>
        <v>0</v>
      </c>
      <c r="AJ28" s="72">
        <f>0</f>
        <v>0</v>
      </c>
      <c r="AK28" s="72">
        <f>0</f>
        <v>0</v>
      </c>
      <c r="AL28" s="73">
        <f>0</f>
        <v>0</v>
      </c>
    </row>
    <row r="29" spans="1:38" ht="14.25" outlineLevel="2">
      <c r="A29" s="25" t="s">
        <v>71</v>
      </c>
      <c r="B29" s="65" t="s">
        <v>122</v>
      </c>
      <c r="C29" s="74" t="s">
        <v>123</v>
      </c>
      <c r="D29" s="67" t="s">
        <v>124</v>
      </c>
      <c r="E29" s="68">
        <f>8789862.32</f>
        <v>8789862.32</v>
      </c>
      <c r="F29" s="69">
        <f>3801182.51</f>
        <v>3801182.51</v>
      </c>
      <c r="G29" s="69">
        <f>2727934.91</f>
        <v>2727934.91</v>
      </c>
      <c r="H29" s="70">
        <f>1632244.82</f>
        <v>1632244.82</v>
      </c>
      <c r="I29" s="71">
        <f>3928590.1</f>
        <v>3928590.1</v>
      </c>
      <c r="J29" s="72">
        <f>3026874</f>
        <v>3026874</v>
      </c>
      <c r="K29" s="72">
        <f>3149754</f>
        <v>3149754</v>
      </c>
      <c r="L29" s="72">
        <f>3274229</f>
        <v>3274229</v>
      </c>
      <c r="M29" s="72">
        <f>3400315</f>
        <v>3400315</v>
      </c>
      <c r="N29" s="72">
        <f>3568031</f>
        <v>3568031</v>
      </c>
      <c r="O29" s="72">
        <f>4600744.46</f>
        <v>4600744.46</v>
      </c>
      <c r="P29" s="72">
        <f>5382939</f>
        <v>5382939</v>
      </c>
      <c r="Q29" s="72">
        <f>5615652</f>
        <v>5615652</v>
      </c>
      <c r="R29" s="72">
        <f>0</f>
        <v>0</v>
      </c>
      <c r="S29" s="72">
        <f>0</f>
        <v>0</v>
      </c>
      <c r="T29" s="72">
        <f>0</f>
        <v>0</v>
      </c>
      <c r="U29" s="72">
        <f>0</f>
        <v>0</v>
      </c>
      <c r="V29" s="72">
        <f>0</f>
        <v>0</v>
      </c>
      <c r="W29" s="72">
        <f>0</f>
        <v>0</v>
      </c>
      <c r="X29" s="72">
        <f>0</f>
        <v>0</v>
      </c>
      <c r="Y29" s="72">
        <f>0</f>
        <v>0</v>
      </c>
      <c r="Z29" s="72">
        <f>0</f>
        <v>0</v>
      </c>
      <c r="AA29" s="72">
        <f>0</f>
        <v>0</v>
      </c>
      <c r="AB29" s="72">
        <f>0</f>
        <v>0</v>
      </c>
      <c r="AC29" s="72">
        <f>0</f>
        <v>0</v>
      </c>
      <c r="AD29" s="72">
        <f>0</f>
        <v>0</v>
      </c>
      <c r="AE29" s="72">
        <f>0</f>
        <v>0</v>
      </c>
      <c r="AF29" s="72">
        <f>0</f>
        <v>0</v>
      </c>
      <c r="AG29" s="72">
        <f>0</f>
        <v>0</v>
      </c>
      <c r="AH29" s="72">
        <f>0</f>
        <v>0</v>
      </c>
      <c r="AI29" s="72">
        <f>0</f>
        <v>0</v>
      </c>
      <c r="AJ29" s="72">
        <f>0</f>
        <v>0</v>
      </c>
      <c r="AK29" s="72">
        <f>0</f>
        <v>0</v>
      </c>
      <c r="AL29" s="73">
        <f>0</f>
        <v>0</v>
      </c>
    </row>
    <row r="30" spans="1:39" ht="15" outlineLevel="1">
      <c r="A30" s="25" t="s">
        <v>71</v>
      </c>
      <c r="B30" s="55">
        <v>3</v>
      </c>
      <c r="C30" s="56" t="s">
        <v>125</v>
      </c>
      <c r="D30" s="57" t="s">
        <v>125</v>
      </c>
      <c r="E30" s="58">
        <f>-4228860.85</f>
        <v>-4228860.85</v>
      </c>
      <c r="F30" s="59">
        <f>361034.95</f>
        <v>361034.95</v>
      </c>
      <c r="G30" s="59">
        <f>1864521</f>
        <v>1864521</v>
      </c>
      <c r="H30" s="60">
        <f>1913666.44</f>
        <v>1913666.44</v>
      </c>
      <c r="I30" s="61">
        <f>2088362.1</f>
        <v>2088362.1</v>
      </c>
      <c r="J30" s="62">
        <f>1964516</f>
        <v>1964516</v>
      </c>
      <c r="K30" s="62">
        <f>1964516</f>
        <v>1964516</v>
      </c>
      <c r="L30" s="62">
        <f>1964516</f>
        <v>1964516</v>
      </c>
      <c r="M30" s="62">
        <f>1964516</f>
        <v>1964516</v>
      </c>
      <c r="N30" s="62">
        <f>1924516</f>
        <v>1924516</v>
      </c>
      <c r="O30" s="62">
        <f>1021165.54</f>
        <v>1021165.54</v>
      </c>
      <c r="P30" s="62">
        <f>370000</f>
        <v>370000</v>
      </c>
      <c r="Q30" s="62">
        <f>270000</f>
        <v>270000</v>
      </c>
      <c r="R30" s="62">
        <f>0</f>
        <v>0</v>
      </c>
      <c r="S30" s="62">
        <f>0</f>
        <v>0</v>
      </c>
      <c r="T30" s="62">
        <f>0</f>
        <v>0</v>
      </c>
      <c r="U30" s="62">
        <f>0</f>
        <v>0</v>
      </c>
      <c r="V30" s="62">
        <f>0</f>
        <v>0</v>
      </c>
      <c r="W30" s="62">
        <f>0</f>
        <v>0</v>
      </c>
      <c r="X30" s="62">
        <f>0</f>
        <v>0</v>
      </c>
      <c r="Y30" s="62">
        <f>0</f>
        <v>0</v>
      </c>
      <c r="Z30" s="62">
        <f>0</f>
        <v>0</v>
      </c>
      <c r="AA30" s="62">
        <f>0</f>
        <v>0</v>
      </c>
      <c r="AB30" s="62">
        <f>0</f>
        <v>0</v>
      </c>
      <c r="AC30" s="62">
        <f>0</f>
        <v>0</v>
      </c>
      <c r="AD30" s="62">
        <f>0</f>
        <v>0</v>
      </c>
      <c r="AE30" s="62">
        <f>0</f>
        <v>0</v>
      </c>
      <c r="AF30" s="62">
        <f>0</f>
        <v>0</v>
      </c>
      <c r="AG30" s="62">
        <f>0</f>
        <v>0</v>
      </c>
      <c r="AH30" s="62">
        <f>0</f>
        <v>0</v>
      </c>
      <c r="AI30" s="62">
        <f>0</f>
        <v>0</v>
      </c>
      <c r="AJ30" s="62">
        <f>0</f>
        <v>0</v>
      </c>
      <c r="AK30" s="62">
        <f>0</f>
        <v>0</v>
      </c>
      <c r="AL30" s="63">
        <f>0</f>
        <v>0</v>
      </c>
      <c r="AM30" s="64"/>
    </row>
    <row r="31" spans="1:39" ht="15" outlineLevel="1">
      <c r="A31" s="25" t="s">
        <v>71</v>
      </c>
      <c r="B31" s="55">
        <v>4</v>
      </c>
      <c r="C31" s="56" t="s">
        <v>126</v>
      </c>
      <c r="D31" s="57" t="s">
        <v>126</v>
      </c>
      <c r="E31" s="58">
        <f>6398294.58</f>
        <v>6398294.58</v>
      </c>
      <c r="F31" s="59">
        <f>1180848.92</f>
        <v>1180848.92</v>
      </c>
      <c r="G31" s="59">
        <f>0</f>
        <v>0</v>
      </c>
      <c r="H31" s="60">
        <f>0</f>
        <v>0</v>
      </c>
      <c r="I31" s="61">
        <f>329507.39</f>
        <v>329507.39</v>
      </c>
      <c r="J31" s="62">
        <f>0</f>
        <v>0</v>
      </c>
      <c r="K31" s="62">
        <f>0</f>
        <v>0</v>
      </c>
      <c r="L31" s="62">
        <f>0</f>
        <v>0</v>
      </c>
      <c r="M31" s="62">
        <f>0</f>
        <v>0</v>
      </c>
      <c r="N31" s="62">
        <f>0</f>
        <v>0</v>
      </c>
      <c r="O31" s="62">
        <f>0</f>
        <v>0</v>
      </c>
      <c r="P31" s="62">
        <f>0</f>
        <v>0</v>
      </c>
      <c r="Q31" s="62">
        <f>0</f>
        <v>0</v>
      </c>
      <c r="R31" s="62">
        <f>0</f>
        <v>0</v>
      </c>
      <c r="S31" s="62">
        <f>0</f>
        <v>0</v>
      </c>
      <c r="T31" s="62">
        <f>0</f>
        <v>0</v>
      </c>
      <c r="U31" s="62">
        <f>0</f>
        <v>0</v>
      </c>
      <c r="V31" s="62">
        <f>0</f>
        <v>0</v>
      </c>
      <c r="W31" s="62">
        <f>0</f>
        <v>0</v>
      </c>
      <c r="X31" s="62">
        <f>0</f>
        <v>0</v>
      </c>
      <c r="Y31" s="62">
        <f>0</f>
        <v>0</v>
      </c>
      <c r="Z31" s="62">
        <f>0</f>
        <v>0</v>
      </c>
      <c r="AA31" s="62">
        <f>0</f>
        <v>0</v>
      </c>
      <c r="AB31" s="62">
        <f>0</f>
        <v>0</v>
      </c>
      <c r="AC31" s="62">
        <f>0</f>
        <v>0</v>
      </c>
      <c r="AD31" s="62">
        <f>0</f>
        <v>0</v>
      </c>
      <c r="AE31" s="62">
        <f>0</f>
        <v>0</v>
      </c>
      <c r="AF31" s="62">
        <f>0</f>
        <v>0</v>
      </c>
      <c r="AG31" s="62">
        <f>0</f>
        <v>0</v>
      </c>
      <c r="AH31" s="62">
        <f>0</f>
        <v>0</v>
      </c>
      <c r="AI31" s="62">
        <f>0</f>
        <v>0</v>
      </c>
      <c r="AJ31" s="62">
        <f>0</f>
        <v>0</v>
      </c>
      <c r="AK31" s="62">
        <f>0</f>
        <v>0</v>
      </c>
      <c r="AL31" s="63">
        <f>0</f>
        <v>0</v>
      </c>
      <c r="AM31" s="64"/>
    </row>
    <row r="32" spans="1:38" ht="14.25" outlineLevel="2">
      <c r="A32" s="25" t="s">
        <v>71</v>
      </c>
      <c r="B32" s="65" t="s">
        <v>127</v>
      </c>
      <c r="C32" s="74" t="s">
        <v>128</v>
      </c>
      <c r="D32" s="67" t="s">
        <v>129</v>
      </c>
      <c r="E32" s="68">
        <f>0</f>
        <v>0</v>
      </c>
      <c r="F32" s="69">
        <f>0</f>
        <v>0</v>
      </c>
      <c r="G32" s="69">
        <f>0</f>
        <v>0</v>
      </c>
      <c r="H32" s="70">
        <f>0</f>
        <v>0</v>
      </c>
      <c r="I32" s="71">
        <f>0</f>
        <v>0</v>
      </c>
      <c r="J32" s="72">
        <f>0</f>
        <v>0</v>
      </c>
      <c r="K32" s="72">
        <f>0</f>
        <v>0</v>
      </c>
      <c r="L32" s="72">
        <f>0</f>
        <v>0</v>
      </c>
      <c r="M32" s="72">
        <f>0</f>
        <v>0</v>
      </c>
      <c r="N32" s="72">
        <f>0</f>
        <v>0</v>
      </c>
      <c r="O32" s="72">
        <f>0</f>
        <v>0</v>
      </c>
      <c r="P32" s="72">
        <f>0</f>
        <v>0</v>
      </c>
      <c r="Q32" s="72">
        <f>0</f>
        <v>0</v>
      </c>
      <c r="R32" s="72">
        <f>0</f>
        <v>0</v>
      </c>
      <c r="S32" s="72">
        <f>0</f>
        <v>0</v>
      </c>
      <c r="T32" s="72">
        <f>0</f>
        <v>0</v>
      </c>
      <c r="U32" s="72">
        <f>0</f>
        <v>0</v>
      </c>
      <c r="V32" s="72">
        <f>0</f>
        <v>0</v>
      </c>
      <c r="W32" s="72">
        <f>0</f>
        <v>0</v>
      </c>
      <c r="X32" s="72">
        <f>0</f>
        <v>0</v>
      </c>
      <c r="Y32" s="72">
        <f>0</f>
        <v>0</v>
      </c>
      <c r="Z32" s="72">
        <f>0</f>
        <v>0</v>
      </c>
      <c r="AA32" s="72">
        <f>0</f>
        <v>0</v>
      </c>
      <c r="AB32" s="72">
        <f>0</f>
        <v>0</v>
      </c>
      <c r="AC32" s="72">
        <f>0</f>
        <v>0</v>
      </c>
      <c r="AD32" s="72">
        <f>0</f>
        <v>0</v>
      </c>
      <c r="AE32" s="72">
        <f>0</f>
        <v>0</v>
      </c>
      <c r="AF32" s="72">
        <f>0</f>
        <v>0</v>
      </c>
      <c r="AG32" s="72">
        <f>0</f>
        <v>0</v>
      </c>
      <c r="AH32" s="72">
        <f>0</f>
        <v>0</v>
      </c>
      <c r="AI32" s="72">
        <f>0</f>
        <v>0</v>
      </c>
      <c r="AJ32" s="72">
        <f>0</f>
        <v>0</v>
      </c>
      <c r="AK32" s="72">
        <f>0</f>
        <v>0</v>
      </c>
      <c r="AL32" s="73">
        <f>0</f>
        <v>0</v>
      </c>
    </row>
    <row r="33" spans="1:38" ht="14.25" outlineLevel="3">
      <c r="A33" s="25" t="s">
        <v>71</v>
      </c>
      <c r="B33" s="65" t="s">
        <v>130</v>
      </c>
      <c r="C33" s="74" t="s">
        <v>131</v>
      </c>
      <c r="D33" s="75" t="s">
        <v>132</v>
      </c>
      <c r="E33" s="68">
        <f>0</f>
        <v>0</v>
      </c>
      <c r="F33" s="69">
        <f>0</f>
        <v>0</v>
      </c>
      <c r="G33" s="69">
        <f>0</f>
        <v>0</v>
      </c>
      <c r="H33" s="70">
        <f>0</f>
        <v>0</v>
      </c>
      <c r="I33" s="71">
        <f>0</f>
        <v>0</v>
      </c>
      <c r="J33" s="72">
        <f>0</f>
        <v>0</v>
      </c>
      <c r="K33" s="72">
        <f>0</f>
        <v>0</v>
      </c>
      <c r="L33" s="72">
        <f>0</f>
        <v>0</v>
      </c>
      <c r="M33" s="72">
        <f>0</f>
        <v>0</v>
      </c>
      <c r="N33" s="72">
        <f>0</f>
        <v>0</v>
      </c>
      <c r="O33" s="72">
        <f>0</f>
        <v>0</v>
      </c>
      <c r="P33" s="72">
        <f>0</f>
        <v>0</v>
      </c>
      <c r="Q33" s="72">
        <f>0</f>
        <v>0</v>
      </c>
      <c r="R33" s="72">
        <f>0</f>
        <v>0</v>
      </c>
      <c r="S33" s="72">
        <f>0</f>
        <v>0</v>
      </c>
      <c r="T33" s="72">
        <f>0</f>
        <v>0</v>
      </c>
      <c r="U33" s="72">
        <f>0</f>
        <v>0</v>
      </c>
      <c r="V33" s="72">
        <f>0</f>
        <v>0</v>
      </c>
      <c r="W33" s="72">
        <f>0</f>
        <v>0</v>
      </c>
      <c r="X33" s="72">
        <f>0</f>
        <v>0</v>
      </c>
      <c r="Y33" s="72">
        <f>0</f>
        <v>0</v>
      </c>
      <c r="Z33" s="72">
        <f>0</f>
        <v>0</v>
      </c>
      <c r="AA33" s="72">
        <f>0</f>
        <v>0</v>
      </c>
      <c r="AB33" s="72">
        <f>0</f>
        <v>0</v>
      </c>
      <c r="AC33" s="72">
        <f>0</f>
        <v>0</v>
      </c>
      <c r="AD33" s="72">
        <f>0</f>
        <v>0</v>
      </c>
      <c r="AE33" s="72">
        <f>0</f>
        <v>0</v>
      </c>
      <c r="AF33" s="72">
        <f>0</f>
        <v>0</v>
      </c>
      <c r="AG33" s="72">
        <f>0</f>
        <v>0</v>
      </c>
      <c r="AH33" s="72">
        <f>0</f>
        <v>0</v>
      </c>
      <c r="AI33" s="72">
        <f>0</f>
        <v>0</v>
      </c>
      <c r="AJ33" s="72">
        <f>0</f>
        <v>0</v>
      </c>
      <c r="AK33" s="72">
        <f>0</f>
        <v>0</v>
      </c>
      <c r="AL33" s="73">
        <f>0</f>
        <v>0</v>
      </c>
    </row>
    <row r="34" spans="1:38" ht="14.25" outlineLevel="2">
      <c r="A34" s="25" t="s">
        <v>71</v>
      </c>
      <c r="B34" s="65" t="s">
        <v>133</v>
      </c>
      <c r="C34" s="74" t="s">
        <v>134</v>
      </c>
      <c r="D34" s="67" t="s">
        <v>135</v>
      </c>
      <c r="E34" s="68">
        <f>1322378</f>
        <v>1322378</v>
      </c>
      <c r="F34" s="69">
        <f>658562</f>
        <v>658562</v>
      </c>
      <c r="G34" s="69">
        <f>0</f>
        <v>0</v>
      </c>
      <c r="H34" s="70">
        <f>0</f>
        <v>0</v>
      </c>
      <c r="I34" s="71">
        <f>329507.39</f>
        <v>329507.39</v>
      </c>
      <c r="J34" s="72">
        <f>0</f>
        <v>0</v>
      </c>
      <c r="K34" s="72">
        <f>0</f>
        <v>0</v>
      </c>
      <c r="L34" s="72">
        <f>0</f>
        <v>0</v>
      </c>
      <c r="M34" s="72">
        <f>0</f>
        <v>0</v>
      </c>
      <c r="N34" s="72">
        <f>0</f>
        <v>0</v>
      </c>
      <c r="O34" s="72">
        <f>0</f>
        <v>0</v>
      </c>
      <c r="P34" s="72">
        <f>0</f>
        <v>0</v>
      </c>
      <c r="Q34" s="72">
        <f>0</f>
        <v>0</v>
      </c>
      <c r="R34" s="72">
        <f>0</f>
        <v>0</v>
      </c>
      <c r="S34" s="72">
        <f>0</f>
        <v>0</v>
      </c>
      <c r="T34" s="72">
        <f>0</f>
        <v>0</v>
      </c>
      <c r="U34" s="72">
        <f>0</f>
        <v>0</v>
      </c>
      <c r="V34" s="72">
        <f>0</f>
        <v>0</v>
      </c>
      <c r="W34" s="72">
        <f>0</f>
        <v>0</v>
      </c>
      <c r="X34" s="72">
        <f>0</f>
        <v>0</v>
      </c>
      <c r="Y34" s="72">
        <f>0</f>
        <v>0</v>
      </c>
      <c r="Z34" s="72">
        <f>0</f>
        <v>0</v>
      </c>
      <c r="AA34" s="72">
        <f>0</f>
        <v>0</v>
      </c>
      <c r="AB34" s="72">
        <f>0</f>
        <v>0</v>
      </c>
      <c r="AC34" s="72">
        <f>0</f>
        <v>0</v>
      </c>
      <c r="AD34" s="72">
        <f>0</f>
        <v>0</v>
      </c>
      <c r="AE34" s="72">
        <f>0</f>
        <v>0</v>
      </c>
      <c r="AF34" s="72">
        <f>0</f>
        <v>0</v>
      </c>
      <c r="AG34" s="72">
        <f>0</f>
        <v>0</v>
      </c>
      <c r="AH34" s="72">
        <f>0</f>
        <v>0</v>
      </c>
      <c r="AI34" s="72">
        <f>0</f>
        <v>0</v>
      </c>
      <c r="AJ34" s="72">
        <f>0</f>
        <v>0</v>
      </c>
      <c r="AK34" s="72">
        <f>0</f>
        <v>0</v>
      </c>
      <c r="AL34" s="73">
        <f>0</f>
        <v>0</v>
      </c>
    </row>
    <row r="35" spans="1:38" ht="14.25" outlineLevel="3">
      <c r="A35" s="25" t="s">
        <v>71</v>
      </c>
      <c r="B35" s="65" t="s">
        <v>136</v>
      </c>
      <c r="C35" s="74" t="s">
        <v>137</v>
      </c>
      <c r="D35" s="75" t="s">
        <v>132</v>
      </c>
      <c r="E35" s="68">
        <f>0</f>
        <v>0</v>
      </c>
      <c r="F35" s="69">
        <f>0</f>
        <v>0</v>
      </c>
      <c r="G35" s="69">
        <f>0</f>
        <v>0</v>
      </c>
      <c r="H35" s="70">
        <f>0</f>
        <v>0</v>
      </c>
      <c r="I35" s="71">
        <f>0</f>
        <v>0</v>
      </c>
      <c r="J35" s="72">
        <f>0</f>
        <v>0</v>
      </c>
      <c r="K35" s="72">
        <f>0</f>
        <v>0</v>
      </c>
      <c r="L35" s="72">
        <f>0</f>
        <v>0</v>
      </c>
      <c r="M35" s="72">
        <f>0</f>
        <v>0</v>
      </c>
      <c r="N35" s="72">
        <f>0</f>
        <v>0</v>
      </c>
      <c r="O35" s="72">
        <f>0</f>
        <v>0</v>
      </c>
      <c r="P35" s="72">
        <f>0</f>
        <v>0</v>
      </c>
      <c r="Q35" s="72">
        <f>0</f>
        <v>0</v>
      </c>
      <c r="R35" s="72">
        <f>0</f>
        <v>0</v>
      </c>
      <c r="S35" s="72">
        <f>0</f>
        <v>0</v>
      </c>
      <c r="T35" s="72">
        <f>0</f>
        <v>0</v>
      </c>
      <c r="U35" s="72">
        <f>0</f>
        <v>0</v>
      </c>
      <c r="V35" s="72">
        <f>0</f>
        <v>0</v>
      </c>
      <c r="W35" s="72">
        <f>0</f>
        <v>0</v>
      </c>
      <c r="X35" s="72">
        <f>0</f>
        <v>0</v>
      </c>
      <c r="Y35" s="72">
        <f>0</f>
        <v>0</v>
      </c>
      <c r="Z35" s="72">
        <f>0</f>
        <v>0</v>
      </c>
      <c r="AA35" s="72">
        <f>0</f>
        <v>0</v>
      </c>
      <c r="AB35" s="72">
        <f>0</f>
        <v>0</v>
      </c>
      <c r="AC35" s="72">
        <f>0</f>
        <v>0</v>
      </c>
      <c r="AD35" s="72">
        <f>0</f>
        <v>0</v>
      </c>
      <c r="AE35" s="72">
        <f>0</f>
        <v>0</v>
      </c>
      <c r="AF35" s="72">
        <f>0</f>
        <v>0</v>
      </c>
      <c r="AG35" s="72">
        <f>0</f>
        <v>0</v>
      </c>
      <c r="AH35" s="72">
        <f>0</f>
        <v>0</v>
      </c>
      <c r="AI35" s="72">
        <f>0</f>
        <v>0</v>
      </c>
      <c r="AJ35" s="72">
        <f>0</f>
        <v>0</v>
      </c>
      <c r="AK35" s="72">
        <f>0</f>
        <v>0</v>
      </c>
      <c r="AL35" s="73">
        <f>0</f>
        <v>0</v>
      </c>
    </row>
    <row r="36" spans="1:38" ht="14.25" outlineLevel="2">
      <c r="A36" s="25" t="s">
        <v>71</v>
      </c>
      <c r="B36" s="65" t="s">
        <v>138</v>
      </c>
      <c r="C36" s="74" t="s">
        <v>139</v>
      </c>
      <c r="D36" s="67" t="s">
        <v>140</v>
      </c>
      <c r="E36" s="68">
        <f>5075916.58</f>
        <v>5075916.58</v>
      </c>
      <c r="F36" s="69">
        <f>515034.42</f>
        <v>515034.42</v>
      </c>
      <c r="G36" s="69">
        <f>0</f>
        <v>0</v>
      </c>
      <c r="H36" s="70">
        <f>0</f>
        <v>0</v>
      </c>
      <c r="I36" s="71">
        <f>0</f>
        <v>0</v>
      </c>
      <c r="J36" s="72">
        <f>0</f>
        <v>0</v>
      </c>
      <c r="K36" s="72">
        <f>0</f>
        <v>0</v>
      </c>
      <c r="L36" s="72">
        <f>0</f>
        <v>0</v>
      </c>
      <c r="M36" s="72">
        <f>0</f>
        <v>0</v>
      </c>
      <c r="N36" s="72">
        <f>0</f>
        <v>0</v>
      </c>
      <c r="O36" s="72">
        <f>0</f>
        <v>0</v>
      </c>
      <c r="P36" s="72">
        <f>0</f>
        <v>0</v>
      </c>
      <c r="Q36" s="72">
        <f>0</f>
        <v>0</v>
      </c>
      <c r="R36" s="72">
        <f>0</f>
        <v>0</v>
      </c>
      <c r="S36" s="72">
        <f>0</f>
        <v>0</v>
      </c>
      <c r="T36" s="72">
        <f>0</f>
        <v>0</v>
      </c>
      <c r="U36" s="72">
        <f>0</f>
        <v>0</v>
      </c>
      <c r="V36" s="72">
        <f>0</f>
        <v>0</v>
      </c>
      <c r="W36" s="72">
        <f>0</f>
        <v>0</v>
      </c>
      <c r="X36" s="72">
        <f>0</f>
        <v>0</v>
      </c>
      <c r="Y36" s="72">
        <f>0</f>
        <v>0</v>
      </c>
      <c r="Z36" s="72">
        <f>0</f>
        <v>0</v>
      </c>
      <c r="AA36" s="72">
        <f>0</f>
        <v>0</v>
      </c>
      <c r="AB36" s="72">
        <f>0</f>
        <v>0</v>
      </c>
      <c r="AC36" s="72">
        <f>0</f>
        <v>0</v>
      </c>
      <c r="AD36" s="72">
        <f>0</f>
        <v>0</v>
      </c>
      <c r="AE36" s="72">
        <f>0</f>
        <v>0</v>
      </c>
      <c r="AF36" s="72">
        <f>0</f>
        <v>0</v>
      </c>
      <c r="AG36" s="72">
        <f>0</f>
        <v>0</v>
      </c>
      <c r="AH36" s="72">
        <f>0</f>
        <v>0</v>
      </c>
      <c r="AI36" s="72">
        <f>0</f>
        <v>0</v>
      </c>
      <c r="AJ36" s="72">
        <f>0</f>
        <v>0</v>
      </c>
      <c r="AK36" s="72">
        <f>0</f>
        <v>0</v>
      </c>
      <c r="AL36" s="73">
        <f>0</f>
        <v>0</v>
      </c>
    </row>
    <row r="37" spans="1:38" ht="14.25" outlineLevel="3">
      <c r="A37" s="25" t="s">
        <v>71</v>
      </c>
      <c r="B37" s="65" t="s">
        <v>141</v>
      </c>
      <c r="C37" s="74" t="s">
        <v>137</v>
      </c>
      <c r="D37" s="75" t="s">
        <v>132</v>
      </c>
      <c r="E37" s="68">
        <f>4228860.85</f>
        <v>4228860.85</v>
      </c>
      <c r="F37" s="69">
        <f>0</f>
        <v>0</v>
      </c>
      <c r="G37" s="69">
        <f>0</f>
        <v>0</v>
      </c>
      <c r="H37" s="70">
        <f>0</f>
        <v>0</v>
      </c>
      <c r="I37" s="71">
        <f>0</f>
        <v>0</v>
      </c>
      <c r="J37" s="72">
        <f>0</f>
        <v>0</v>
      </c>
      <c r="K37" s="72">
        <f>0</f>
        <v>0</v>
      </c>
      <c r="L37" s="72">
        <f>0</f>
        <v>0</v>
      </c>
      <c r="M37" s="72">
        <f>0</f>
        <v>0</v>
      </c>
      <c r="N37" s="72">
        <f>0</f>
        <v>0</v>
      </c>
      <c r="O37" s="72">
        <f>0</f>
        <v>0</v>
      </c>
      <c r="P37" s="72">
        <f>0</f>
        <v>0</v>
      </c>
      <c r="Q37" s="72">
        <f>0</f>
        <v>0</v>
      </c>
      <c r="R37" s="72">
        <f>0</f>
        <v>0</v>
      </c>
      <c r="S37" s="72">
        <f>0</f>
        <v>0</v>
      </c>
      <c r="T37" s="72">
        <f>0</f>
        <v>0</v>
      </c>
      <c r="U37" s="72">
        <f>0</f>
        <v>0</v>
      </c>
      <c r="V37" s="72">
        <f>0</f>
        <v>0</v>
      </c>
      <c r="W37" s="72">
        <f>0</f>
        <v>0</v>
      </c>
      <c r="X37" s="72">
        <f>0</f>
        <v>0</v>
      </c>
      <c r="Y37" s="72">
        <f>0</f>
        <v>0</v>
      </c>
      <c r="Z37" s="72">
        <f>0</f>
        <v>0</v>
      </c>
      <c r="AA37" s="72">
        <f>0</f>
        <v>0</v>
      </c>
      <c r="AB37" s="72">
        <f>0</f>
        <v>0</v>
      </c>
      <c r="AC37" s="72">
        <f>0</f>
        <v>0</v>
      </c>
      <c r="AD37" s="72">
        <f>0</f>
        <v>0</v>
      </c>
      <c r="AE37" s="72">
        <f>0</f>
        <v>0</v>
      </c>
      <c r="AF37" s="72">
        <f>0</f>
        <v>0</v>
      </c>
      <c r="AG37" s="72">
        <f>0</f>
        <v>0</v>
      </c>
      <c r="AH37" s="72">
        <f>0</f>
        <v>0</v>
      </c>
      <c r="AI37" s="72">
        <f>0</f>
        <v>0</v>
      </c>
      <c r="AJ37" s="72">
        <f>0</f>
        <v>0</v>
      </c>
      <c r="AK37" s="72">
        <f>0</f>
        <v>0</v>
      </c>
      <c r="AL37" s="73">
        <f>0</f>
        <v>0</v>
      </c>
    </row>
    <row r="38" spans="1:38" ht="14.25" outlineLevel="2">
      <c r="A38" s="25" t="s">
        <v>71</v>
      </c>
      <c r="B38" s="65" t="s">
        <v>142</v>
      </c>
      <c r="C38" s="74" t="s">
        <v>143</v>
      </c>
      <c r="D38" s="67" t="s">
        <v>143</v>
      </c>
      <c r="E38" s="68">
        <f>0</f>
        <v>0</v>
      </c>
      <c r="F38" s="69">
        <f>7252.5</f>
        <v>7252.5</v>
      </c>
      <c r="G38" s="69">
        <f>0</f>
        <v>0</v>
      </c>
      <c r="H38" s="70">
        <f>0</f>
        <v>0</v>
      </c>
      <c r="I38" s="71">
        <f>0</f>
        <v>0</v>
      </c>
      <c r="J38" s="72">
        <f>0</f>
        <v>0</v>
      </c>
      <c r="K38" s="72">
        <f>0</f>
        <v>0</v>
      </c>
      <c r="L38" s="72">
        <f>0</f>
        <v>0</v>
      </c>
      <c r="M38" s="72">
        <f>0</f>
        <v>0</v>
      </c>
      <c r="N38" s="72">
        <f>0</f>
        <v>0</v>
      </c>
      <c r="O38" s="72">
        <f>0</f>
        <v>0</v>
      </c>
      <c r="P38" s="72">
        <f>0</f>
        <v>0</v>
      </c>
      <c r="Q38" s="72">
        <f>0</f>
        <v>0</v>
      </c>
      <c r="R38" s="72">
        <f>0</f>
        <v>0</v>
      </c>
      <c r="S38" s="72">
        <f>0</f>
        <v>0</v>
      </c>
      <c r="T38" s="72">
        <f>0</f>
        <v>0</v>
      </c>
      <c r="U38" s="72">
        <f>0</f>
        <v>0</v>
      </c>
      <c r="V38" s="72">
        <f>0</f>
        <v>0</v>
      </c>
      <c r="W38" s="72">
        <f>0</f>
        <v>0</v>
      </c>
      <c r="X38" s="72">
        <f>0</f>
        <v>0</v>
      </c>
      <c r="Y38" s="72">
        <f>0</f>
        <v>0</v>
      </c>
      <c r="Z38" s="72">
        <f>0</f>
        <v>0</v>
      </c>
      <c r="AA38" s="72">
        <f>0</f>
        <v>0</v>
      </c>
      <c r="AB38" s="72">
        <f>0</f>
        <v>0</v>
      </c>
      <c r="AC38" s="72">
        <f>0</f>
        <v>0</v>
      </c>
      <c r="AD38" s="72">
        <f>0</f>
        <v>0</v>
      </c>
      <c r="AE38" s="72">
        <f>0</f>
        <v>0</v>
      </c>
      <c r="AF38" s="72">
        <f>0</f>
        <v>0</v>
      </c>
      <c r="AG38" s="72">
        <f>0</f>
        <v>0</v>
      </c>
      <c r="AH38" s="72">
        <f>0</f>
        <v>0</v>
      </c>
      <c r="AI38" s="72">
        <f>0</f>
        <v>0</v>
      </c>
      <c r="AJ38" s="72">
        <f>0</f>
        <v>0</v>
      </c>
      <c r="AK38" s="72">
        <f>0</f>
        <v>0</v>
      </c>
      <c r="AL38" s="73">
        <f>0</f>
        <v>0</v>
      </c>
    </row>
    <row r="39" spans="1:38" ht="14.25" outlineLevel="3">
      <c r="A39" s="25" t="s">
        <v>71</v>
      </c>
      <c r="B39" s="65" t="s">
        <v>144</v>
      </c>
      <c r="C39" s="74" t="s">
        <v>137</v>
      </c>
      <c r="D39" s="75" t="s">
        <v>132</v>
      </c>
      <c r="E39" s="68">
        <f>0</f>
        <v>0</v>
      </c>
      <c r="F39" s="69">
        <f>0</f>
        <v>0</v>
      </c>
      <c r="G39" s="69">
        <f>0</f>
        <v>0</v>
      </c>
      <c r="H39" s="70">
        <f>0</f>
        <v>0</v>
      </c>
      <c r="I39" s="71">
        <f>0</f>
        <v>0</v>
      </c>
      <c r="J39" s="72">
        <f>0</f>
        <v>0</v>
      </c>
      <c r="K39" s="72">
        <f>0</f>
        <v>0</v>
      </c>
      <c r="L39" s="72">
        <f>0</f>
        <v>0</v>
      </c>
      <c r="M39" s="72">
        <f>0</f>
        <v>0</v>
      </c>
      <c r="N39" s="72">
        <f>0</f>
        <v>0</v>
      </c>
      <c r="O39" s="72">
        <f>0</f>
        <v>0</v>
      </c>
      <c r="P39" s="72">
        <f>0</f>
        <v>0</v>
      </c>
      <c r="Q39" s="72">
        <f>0</f>
        <v>0</v>
      </c>
      <c r="R39" s="72">
        <f>0</f>
        <v>0</v>
      </c>
      <c r="S39" s="72">
        <f>0</f>
        <v>0</v>
      </c>
      <c r="T39" s="72">
        <f>0</f>
        <v>0</v>
      </c>
      <c r="U39" s="72">
        <f>0</f>
        <v>0</v>
      </c>
      <c r="V39" s="72">
        <f>0</f>
        <v>0</v>
      </c>
      <c r="W39" s="72">
        <f>0</f>
        <v>0</v>
      </c>
      <c r="X39" s="72">
        <f>0</f>
        <v>0</v>
      </c>
      <c r="Y39" s="72">
        <f>0</f>
        <v>0</v>
      </c>
      <c r="Z39" s="72">
        <f>0</f>
        <v>0</v>
      </c>
      <c r="AA39" s="72">
        <f>0</f>
        <v>0</v>
      </c>
      <c r="AB39" s="72">
        <f>0</f>
        <v>0</v>
      </c>
      <c r="AC39" s="72">
        <f>0</f>
        <v>0</v>
      </c>
      <c r="AD39" s="72">
        <f>0</f>
        <v>0</v>
      </c>
      <c r="AE39" s="72">
        <f>0</f>
        <v>0</v>
      </c>
      <c r="AF39" s="72">
        <f>0</f>
        <v>0</v>
      </c>
      <c r="AG39" s="72">
        <f>0</f>
        <v>0</v>
      </c>
      <c r="AH39" s="72">
        <f>0</f>
        <v>0</v>
      </c>
      <c r="AI39" s="72">
        <f>0</f>
        <v>0</v>
      </c>
      <c r="AJ39" s="72">
        <f>0</f>
        <v>0</v>
      </c>
      <c r="AK39" s="72">
        <f>0</f>
        <v>0</v>
      </c>
      <c r="AL39" s="73">
        <f>0</f>
        <v>0</v>
      </c>
    </row>
    <row r="40" spans="1:39" ht="15" outlineLevel="1">
      <c r="A40" s="25" t="s">
        <v>71</v>
      </c>
      <c r="B40" s="55">
        <v>5</v>
      </c>
      <c r="C40" s="56" t="s">
        <v>145</v>
      </c>
      <c r="D40" s="57" t="s">
        <v>145</v>
      </c>
      <c r="E40" s="58">
        <f>1503605.29</f>
        <v>1503605.29</v>
      </c>
      <c r="F40" s="59">
        <f>1594516</f>
        <v>1594516</v>
      </c>
      <c r="G40" s="59">
        <f>1864521</f>
        <v>1864521</v>
      </c>
      <c r="H40" s="60">
        <f>1411162.51</f>
        <v>1411162.51</v>
      </c>
      <c r="I40" s="61">
        <f>2417869.49</f>
        <v>2417869.49</v>
      </c>
      <c r="J40" s="62">
        <f aca="true" t="shared" si="1" ref="J40:M41">1964516</f>
        <v>1964516</v>
      </c>
      <c r="K40" s="62">
        <f t="shared" si="1"/>
        <v>1964516</v>
      </c>
      <c r="L40" s="62">
        <f t="shared" si="1"/>
        <v>1964516</v>
      </c>
      <c r="M40" s="62">
        <f t="shared" si="1"/>
        <v>1964516</v>
      </c>
      <c r="N40" s="62">
        <f>1924516</f>
        <v>1924516</v>
      </c>
      <c r="O40" s="62">
        <f>1021165.54</f>
        <v>1021165.54</v>
      </c>
      <c r="P40" s="62">
        <f>370000</f>
        <v>370000</v>
      </c>
      <c r="Q40" s="62">
        <f>270000</f>
        <v>270000</v>
      </c>
      <c r="R40" s="62">
        <f>0</f>
        <v>0</v>
      </c>
      <c r="S40" s="62">
        <f>0</f>
        <v>0</v>
      </c>
      <c r="T40" s="62">
        <f>0</f>
        <v>0</v>
      </c>
      <c r="U40" s="62">
        <f>0</f>
        <v>0</v>
      </c>
      <c r="V40" s="62">
        <f>0</f>
        <v>0</v>
      </c>
      <c r="W40" s="62">
        <f>0</f>
        <v>0</v>
      </c>
      <c r="X40" s="62">
        <f>0</f>
        <v>0</v>
      </c>
      <c r="Y40" s="62">
        <f>0</f>
        <v>0</v>
      </c>
      <c r="Z40" s="62">
        <f>0</f>
        <v>0</v>
      </c>
      <c r="AA40" s="62">
        <f>0</f>
        <v>0</v>
      </c>
      <c r="AB40" s="62">
        <f>0</f>
        <v>0</v>
      </c>
      <c r="AC40" s="62">
        <f>0</f>
        <v>0</v>
      </c>
      <c r="AD40" s="62">
        <f>0</f>
        <v>0</v>
      </c>
      <c r="AE40" s="62">
        <f>0</f>
        <v>0</v>
      </c>
      <c r="AF40" s="62">
        <f>0</f>
        <v>0</v>
      </c>
      <c r="AG40" s="62">
        <f>0</f>
        <v>0</v>
      </c>
      <c r="AH40" s="62">
        <f>0</f>
        <v>0</v>
      </c>
      <c r="AI40" s="62">
        <f>0</f>
        <v>0</v>
      </c>
      <c r="AJ40" s="62">
        <f>0</f>
        <v>0</v>
      </c>
      <c r="AK40" s="62">
        <f>0</f>
        <v>0</v>
      </c>
      <c r="AL40" s="63">
        <f>0</f>
        <v>0</v>
      </c>
      <c r="AM40" s="64"/>
    </row>
    <row r="41" spans="1:38" ht="14.25" outlineLevel="2">
      <c r="A41" s="25" t="s">
        <v>71</v>
      </c>
      <c r="B41" s="65" t="s">
        <v>146</v>
      </c>
      <c r="C41" s="74" t="s">
        <v>147</v>
      </c>
      <c r="D41" s="67" t="s">
        <v>148</v>
      </c>
      <c r="E41" s="68">
        <f>1503605.29</f>
        <v>1503605.29</v>
      </c>
      <c r="F41" s="69">
        <f>1594516</f>
        <v>1594516</v>
      </c>
      <c r="G41" s="69">
        <f>1864521</f>
        <v>1864521</v>
      </c>
      <c r="H41" s="70">
        <f>1411162.51</f>
        <v>1411162.51</v>
      </c>
      <c r="I41" s="71">
        <f>2417869.49</f>
        <v>2417869.49</v>
      </c>
      <c r="J41" s="72">
        <f t="shared" si="1"/>
        <v>1964516</v>
      </c>
      <c r="K41" s="72">
        <f t="shared" si="1"/>
        <v>1964516</v>
      </c>
      <c r="L41" s="72">
        <f t="shared" si="1"/>
        <v>1964516</v>
      </c>
      <c r="M41" s="72">
        <f t="shared" si="1"/>
        <v>1964516</v>
      </c>
      <c r="N41" s="72">
        <f>1924516</f>
        <v>1924516</v>
      </c>
      <c r="O41" s="72">
        <f>1021165.54</f>
        <v>1021165.54</v>
      </c>
      <c r="P41" s="72">
        <f>370000</f>
        <v>370000</v>
      </c>
      <c r="Q41" s="72">
        <f>270000</f>
        <v>270000</v>
      </c>
      <c r="R41" s="72">
        <f>0</f>
        <v>0</v>
      </c>
      <c r="S41" s="72">
        <f>0</f>
        <v>0</v>
      </c>
      <c r="T41" s="72">
        <f>0</f>
        <v>0</v>
      </c>
      <c r="U41" s="72">
        <f>0</f>
        <v>0</v>
      </c>
      <c r="V41" s="72">
        <f>0</f>
        <v>0</v>
      </c>
      <c r="W41" s="72">
        <f>0</f>
        <v>0</v>
      </c>
      <c r="X41" s="72">
        <f>0</f>
        <v>0</v>
      </c>
      <c r="Y41" s="72">
        <f>0</f>
        <v>0</v>
      </c>
      <c r="Z41" s="72">
        <f>0</f>
        <v>0</v>
      </c>
      <c r="AA41" s="72">
        <f>0</f>
        <v>0</v>
      </c>
      <c r="AB41" s="72">
        <f>0</f>
        <v>0</v>
      </c>
      <c r="AC41" s="72">
        <f>0</f>
        <v>0</v>
      </c>
      <c r="AD41" s="72">
        <f>0</f>
        <v>0</v>
      </c>
      <c r="AE41" s="72">
        <f>0</f>
        <v>0</v>
      </c>
      <c r="AF41" s="72">
        <f>0</f>
        <v>0</v>
      </c>
      <c r="AG41" s="72">
        <f>0</f>
        <v>0</v>
      </c>
      <c r="AH41" s="72">
        <f>0</f>
        <v>0</v>
      </c>
      <c r="AI41" s="72">
        <f>0</f>
        <v>0</v>
      </c>
      <c r="AJ41" s="72">
        <f>0</f>
        <v>0</v>
      </c>
      <c r="AK41" s="72">
        <f>0</f>
        <v>0</v>
      </c>
      <c r="AL41" s="73">
        <f>0</f>
        <v>0</v>
      </c>
    </row>
    <row r="42" spans="1:38" ht="24" outlineLevel="3">
      <c r="A42" s="25" t="s">
        <v>71</v>
      </c>
      <c r="B42" s="65" t="s">
        <v>149</v>
      </c>
      <c r="C42" s="74" t="s">
        <v>150</v>
      </c>
      <c r="D42" s="75" t="s">
        <v>151</v>
      </c>
      <c r="E42" s="68">
        <f>401152.51</f>
        <v>401152.51</v>
      </c>
      <c r="F42" s="69">
        <f>1129652.32</f>
        <v>1129652.32</v>
      </c>
      <c r="G42" s="69">
        <f>564826.16</f>
        <v>564826.16</v>
      </c>
      <c r="H42" s="70">
        <f>377483.98</f>
        <v>377483.98</v>
      </c>
      <c r="I42" s="71">
        <f>520000</f>
        <v>520000</v>
      </c>
      <c r="J42" s="72">
        <f>0</f>
        <v>0</v>
      </c>
      <c r="K42" s="72">
        <f>0</f>
        <v>0</v>
      </c>
      <c r="L42" s="72">
        <f>0</f>
        <v>0</v>
      </c>
      <c r="M42" s="72">
        <f>0</f>
        <v>0</v>
      </c>
      <c r="N42" s="72">
        <f>0</f>
        <v>0</v>
      </c>
      <c r="O42" s="72">
        <f>0</f>
        <v>0</v>
      </c>
      <c r="P42" s="72">
        <f>0</f>
        <v>0</v>
      </c>
      <c r="Q42" s="72">
        <f>0</f>
        <v>0</v>
      </c>
      <c r="R42" s="72">
        <f>0</f>
        <v>0</v>
      </c>
      <c r="S42" s="72">
        <f>0</f>
        <v>0</v>
      </c>
      <c r="T42" s="72">
        <f>0</f>
        <v>0</v>
      </c>
      <c r="U42" s="72">
        <f>0</f>
        <v>0</v>
      </c>
      <c r="V42" s="72">
        <f>0</f>
        <v>0</v>
      </c>
      <c r="W42" s="72">
        <f>0</f>
        <v>0</v>
      </c>
      <c r="X42" s="72">
        <f>0</f>
        <v>0</v>
      </c>
      <c r="Y42" s="72">
        <f>0</f>
        <v>0</v>
      </c>
      <c r="Z42" s="72">
        <f>0</f>
        <v>0</v>
      </c>
      <c r="AA42" s="72">
        <f>0</f>
        <v>0</v>
      </c>
      <c r="AB42" s="72">
        <f>0</f>
        <v>0</v>
      </c>
      <c r="AC42" s="72">
        <f>0</f>
        <v>0</v>
      </c>
      <c r="AD42" s="72">
        <f>0</f>
        <v>0</v>
      </c>
      <c r="AE42" s="72">
        <f>0</f>
        <v>0</v>
      </c>
      <c r="AF42" s="72">
        <f>0</f>
        <v>0</v>
      </c>
      <c r="AG42" s="72">
        <f>0</f>
        <v>0</v>
      </c>
      <c r="AH42" s="72">
        <f>0</f>
        <v>0</v>
      </c>
      <c r="AI42" s="72">
        <f>0</f>
        <v>0</v>
      </c>
      <c r="AJ42" s="72">
        <f>0</f>
        <v>0</v>
      </c>
      <c r="AK42" s="72">
        <f>0</f>
        <v>0</v>
      </c>
      <c r="AL42" s="73">
        <f>0</f>
        <v>0</v>
      </c>
    </row>
    <row r="43" spans="1:38" ht="24" customHeight="1" outlineLevel="4">
      <c r="A43" s="25" t="s">
        <v>71</v>
      </c>
      <c r="B43" s="65" t="s">
        <v>152</v>
      </c>
      <c r="C43" s="74" t="s">
        <v>153</v>
      </c>
      <c r="D43" s="76" t="s">
        <v>154</v>
      </c>
      <c r="E43" s="68">
        <f>401152.51</f>
        <v>401152.51</v>
      </c>
      <c r="F43" s="69">
        <f>564826.16</f>
        <v>564826.16</v>
      </c>
      <c r="G43" s="69">
        <f>564826.16</f>
        <v>564826.16</v>
      </c>
      <c r="H43" s="70">
        <f>377483.98</f>
        <v>377483.98</v>
      </c>
      <c r="I43" s="71">
        <f>520000</f>
        <v>520000</v>
      </c>
      <c r="J43" s="72">
        <f>0</f>
        <v>0</v>
      </c>
      <c r="K43" s="72">
        <f>0</f>
        <v>0</v>
      </c>
      <c r="L43" s="72">
        <f>0</f>
        <v>0</v>
      </c>
      <c r="M43" s="72">
        <f>0</f>
        <v>0</v>
      </c>
      <c r="N43" s="72">
        <f>0</f>
        <v>0</v>
      </c>
      <c r="O43" s="72">
        <f>0</f>
        <v>0</v>
      </c>
      <c r="P43" s="72">
        <f>0</f>
        <v>0</v>
      </c>
      <c r="Q43" s="72">
        <f>0</f>
        <v>0</v>
      </c>
      <c r="R43" s="72">
        <f>0</f>
        <v>0</v>
      </c>
      <c r="S43" s="72">
        <f>0</f>
        <v>0</v>
      </c>
      <c r="T43" s="72">
        <f>0</f>
        <v>0</v>
      </c>
      <c r="U43" s="72">
        <f>0</f>
        <v>0</v>
      </c>
      <c r="V43" s="72">
        <f>0</f>
        <v>0</v>
      </c>
      <c r="W43" s="72">
        <f>0</f>
        <v>0</v>
      </c>
      <c r="X43" s="72">
        <f>0</f>
        <v>0</v>
      </c>
      <c r="Y43" s="72">
        <f>0</f>
        <v>0</v>
      </c>
      <c r="Z43" s="72">
        <f>0</f>
        <v>0</v>
      </c>
      <c r="AA43" s="72">
        <f>0</f>
        <v>0</v>
      </c>
      <c r="AB43" s="72">
        <f>0</f>
        <v>0</v>
      </c>
      <c r="AC43" s="72">
        <f>0</f>
        <v>0</v>
      </c>
      <c r="AD43" s="72">
        <f>0</f>
        <v>0</v>
      </c>
      <c r="AE43" s="72">
        <f>0</f>
        <v>0</v>
      </c>
      <c r="AF43" s="72">
        <f>0</f>
        <v>0</v>
      </c>
      <c r="AG43" s="72">
        <f>0</f>
        <v>0</v>
      </c>
      <c r="AH43" s="72">
        <f>0</f>
        <v>0</v>
      </c>
      <c r="AI43" s="72">
        <f>0</f>
        <v>0</v>
      </c>
      <c r="AJ43" s="72">
        <f>0</f>
        <v>0</v>
      </c>
      <c r="AK43" s="72">
        <f>0</f>
        <v>0</v>
      </c>
      <c r="AL43" s="73">
        <f>0</f>
        <v>0</v>
      </c>
    </row>
    <row r="44" spans="1:38" ht="27.75" customHeight="1" outlineLevel="4">
      <c r="A44" s="25" t="s">
        <v>71</v>
      </c>
      <c r="B44" s="65" t="s">
        <v>155</v>
      </c>
      <c r="C44" s="74" t="s">
        <v>156</v>
      </c>
      <c r="D44" s="76" t="s">
        <v>157</v>
      </c>
      <c r="E44" s="68">
        <f>0</f>
        <v>0</v>
      </c>
      <c r="F44" s="69">
        <f>564826.16</f>
        <v>564826.16</v>
      </c>
      <c r="G44" s="69">
        <f>0</f>
        <v>0</v>
      </c>
      <c r="H44" s="70">
        <f>0</f>
        <v>0</v>
      </c>
      <c r="I44" s="71">
        <f>0</f>
        <v>0</v>
      </c>
      <c r="J44" s="72">
        <f>0</f>
        <v>0</v>
      </c>
      <c r="K44" s="72">
        <f>0</f>
        <v>0</v>
      </c>
      <c r="L44" s="72">
        <f>0</f>
        <v>0</v>
      </c>
      <c r="M44" s="72">
        <f>0</f>
        <v>0</v>
      </c>
      <c r="N44" s="72">
        <f>0</f>
        <v>0</v>
      </c>
      <c r="O44" s="72">
        <f>0</f>
        <v>0</v>
      </c>
      <c r="P44" s="72">
        <f>0</f>
        <v>0</v>
      </c>
      <c r="Q44" s="72">
        <f>0</f>
        <v>0</v>
      </c>
      <c r="R44" s="72">
        <f>0</f>
        <v>0</v>
      </c>
      <c r="S44" s="72">
        <f>0</f>
        <v>0</v>
      </c>
      <c r="T44" s="72">
        <f>0</f>
        <v>0</v>
      </c>
      <c r="U44" s="72">
        <f>0</f>
        <v>0</v>
      </c>
      <c r="V44" s="72">
        <f>0</f>
        <v>0</v>
      </c>
      <c r="W44" s="72">
        <f>0</f>
        <v>0</v>
      </c>
      <c r="X44" s="72">
        <f>0</f>
        <v>0</v>
      </c>
      <c r="Y44" s="72">
        <f>0</f>
        <v>0</v>
      </c>
      <c r="Z44" s="72">
        <f>0</f>
        <v>0</v>
      </c>
      <c r="AA44" s="72">
        <f>0</f>
        <v>0</v>
      </c>
      <c r="AB44" s="72">
        <f>0</f>
        <v>0</v>
      </c>
      <c r="AC44" s="72">
        <f>0</f>
        <v>0</v>
      </c>
      <c r="AD44" s="72">
        <f>0</f>
        <v>0</v>
      </c>
      <c r="AE44" s="72">
        <f>0</f>
        <v>0</v>
      </c>
      <c r="AF44" s="72">
        <f>0</f>
        <v>0</v>
      </c>
      <c r="AG44" s="72">
        <f>0</f>
        <v>0</v>
      </c>
      <c r="AH44" s="72">
        <f>0</f>
        <v>0</v>
      </c>
      <c r="AI44" s="72">
        <f>0</f>
        <v>0</v>
      </c>
      <c r="AJ44" s="72">
        <f>0</f>
        <v>0</v>
      </c>
      <c r="AK44" s="72">
        <f>0</f>
        <v>0</v>
      </c>
      <c r="AL44" s="73">
        <f>0</f>
        <v>0</v>
      </c>
    </row>
    <row r="45" spans="1:38" ht="23.25" customHeight="1" outlineLevel="4">
      <c r="A45" s="25" t="s">
        <v>71</v>
      </c>
      <c r="B45" s="65" t="s">
        <v>158</v>
      </c>
      <c r="C45" s="74" t="s">
        <v>159</v>
      </c>
      <c r="D45" s="76" t="s">
        <v>160</v>
      </c>
      <c r="E45" s="68">
        <f>0</f>
        <v>0</v>
      </c>
      <c r="F45" s="69">
        <f>0</f>
        <v>0</v>
      </c>
      <c r="G45" s="69">
        <f>0</f>
        <v>0</v>
      </c>
      <c r="H45" s="70">
        <f>0</f>
        <v>0</v>
      </c>
      <c r="I45" s="71">
        <f>0</f>
        <v>0</v>
      </c>
      <c r="J45" s="72">
        <f>0</f>
        <v>0</v>
      </c>
      <c r="K45" s="72">
        <f>0</f>
        <v>0</v>
      </c>
      <c r="L45" s="72">
        <f>0</f>
        <v>0</v>
      </c>
      <c r="M45" s="72">
        <f>0</f>
        <v>0</v>
      </c>
      <c r="N45" s="72">
        <f>0</f>
        <v>0</v>
      </c>
      <c r="O45" s="72">
        <f>0</f>
        <v>0</v>
      </c>
      <c r="P45" s="72">
        <f>0</f>
        <v>0</v>
      </c>
      <c r="Q45" s="72">
        <f>0</f>
        <v>0</v>
      </c>
      <c r="R45" s="72">
        <f>0</f>
        <v>0</v>
      </c>
      <c r="S45" s="72">
        <f>0</f>
        <v>0</v>
      </c>
      <c r="T45" s="72">
        <f>0</f>
        <v>0</v>
      </c>
      <c r="U45" s="72">
        <f>0</f>
        <v>0</v>
      </c>
      <c r="V45" s="72">
        <f>0</f>
        <v>0</v>
      </c>
      <c r="W45" s="72">
        <f>0</f>
        <v>0</v>
      </c>
      <c r="X45" s="72">
        <f>0</f>
        <v>0</v>
      </c>
      <c r="Y45" s="72">
        <f>0</f>
        <v>0</v>
      </c>
      <c r="Z45" s="72">
        <f>0</f>
        <v>0</v>
      </c>
      <c r="AA45" s="72">
        <f>0</f>
        <v>0</v>
      </c>
      <c r="AB45" s="72">
        <f>0</f>
        <v>0</v>
      </c>
      <c r="AC45" s="72">
        <f>0</f>
        <v>0</v>
      </c>
      <c r="AD45" s="72">
        <f>0</f>
        <v>0</v>
      </c>
      <c r="AE45" s="72">
        <f>0</f>
        <v>0</v>
      </c>
      <c r="AF45" s="72">
        <f>0</f>
        <v>0</v>
      </c>
      <c r="AG45" s="72">
        <f>0</f>
        <v>0</v>
      </c>
      <c r="AH45" s="72">
        <f>0</f>
        <v>0</v>
      </c>
      <c r="AI45" s="72">
        <f>0</f>
        <v>0</v>
      </c>
      <c r="AJ45" s="72">
        <f>0</f>
        <v>0</v>
      </c>
      <c r="AK45" s="72">
        <f>0</f>
        <v>0</v>
      </c>
      <c r="AL45" s="73">
        <f>0</f>
        <v>0</v>
      </c>
    </row>
    <row r="46" spans="2:38" ht="14.25" outlineLevel="2">
      <c r="B46" s="65" t="s">
        <v>161</v>
      </c>
      <c r="C46" s="74" t="s">
        <v>162</v>
      </c>
      <c r="D46" s="67" t="s">
        <v>162</v>
      </c>
      <c r="E46" s="68">
        <f>0</f>
        <v>0</v>
      </c>
      <c r="F46" s="69">
        <f>0</f>
        <v>0</v>
      </c>
      <c r="G46" s="69">
        <f>0</f>
        <v>0</v>
      </c>
      <c r="H46" s="70">
        <f>0</f>
        <v>0</v>
      </c>
      <c r="I46" s="71">
        <f>0</f>
        <v>0</v>
      </c>
      <c r="J46" s="72">
        <f>0</f>
        <v>0</v>
      </c>
      <c r="K46" s="72">
        <f>0</f>
        <v>0</v>
      </c>
      <c r="L46" s="72">
        <f>0</f>
        <v>0</v>
      </c>
      <c r="M46" s="72">
        <f>0</f>
        <v>0</v>
      </c>
      <c r="N46" s="72">
        <f>0</f>
        <v>0</v>
      </c>
      <c r="O46" s="72">
        <f>0</f>
        <v>0</v>
      </c>
      <c r="P46" s="72">
        <f>0</f>
        <v>0</v>
      </c>
      <c r="Q46" s="72">
        <f>0</f>
        <v>0</v>
      </c>
      <c r="R46" s="72">
        <f>0</f>
        <v>0</v>
      </c>
      <c r="S46" s="72">
        <f>0</f>
        <v>0</v>
      </c>
      <c r="T46" s="72">
        <f>0</f>
        <v>0</v>
      </c>
      <c r="U46" s="72">
        <f>0</f>
        <v>0</v>
      </c>
      <c r="V46" s="72">
        <f>0</f>
        <v>0</v>
      </c>
      <c r="W46" s="72">
        <f>0</f>
        <v>0</v>
      </c>
      <c r="X46" s="72">
        <f>0</f>
        <v>0</v>
      </c>
      <c r="Y46" s="72">
        <f>0</f>
        <v>0</v>
      </c>
      <c r="Z46" s="72">
        <f>0</f>
        <v>0</v>
      </c>
      <c r="AA46" s="72">
        <f>0</f>
        <v>0</v>
      </c>
      <c r="AB46" s="72">
        <f>0</f>
        <v>0</v>
      </c>
      <c r="AC46" s="72">
        <f>0</f>
        <v>0</v>
      </c>
      <c r="AD46" s="72">
        <f>0</f>
        <v>0</v>
      </c>
      <c r="AE46" s="72">
        <f>0</f>
        <v>0</v>
      </c>
      <c r="AF46" s="72">
        <f>0</f>
        <v>0</v>
      </c>
      <c r="AG46" s="72">
        <f>0</f>
        <v>0</v>
      </c>
      <c r="AH46" s="72">
        <f>0</f>
        <v>0</v>
      </c>
      <c r="AI46" s="72">
        <f>0</f>
        <v>0</v>
      </c>
      <c r="AJ46" s="72">
        <f>0</f>
        <v>0</v>
      </c>
      <c r="AK46" s="72">
        <f>0</f>
        <v>0</v>
      </c>
      <c r="AL46" s="73">
        <f>0</f>
        <v>0</v>
      </c>
    </row>
    <row r="47" spans="1:39" ht="15" outlineLevel="1">
      <c r="A47" s="25" t="s">
        <v>71</v>
      </c>
      <c r="B47" s="55">
        <v>6</v>
      </c>
      <c r="C47" s="56" t="s">
        <v>163</v>
      </c>
      <c r="D47" s="57" t="s">
        <v>163</v>
      </c>
      <c r="E47" s="58">
        <f>19551041.62</f>
        <v>19551041.62</v>
      </c>
      <c r="F47" s="59">
        <f>17851172.01</f>
        <v>17851172.01</v>
      </c>
      <c r="G47" s="59">
        <f>15106620.55</f>
        <v>15106620.55</v>
      </c>
      <c r="H47" s="60">
        <f>16044386.18</f>
        <v>16044386.18</v>
      </c>
      <c r="I47" s="61">
        <f>12462650.14</f>
        <v>12462650.14</v>
      </c>
      <c r="J47" s="62">
        <f>9818680.42</f>
        <v>9818680.42</v>
      </c>
      <c r="K47" s="62">
        <f>7525699.42</f>
        <v>7525699.42</v>
      </c>
      <c r="L47" s="62">
        <f>5550197.54</f>
        <v>5550197.54</v>
      </c>
      <c r="M47" s="62">
        <f>3585681.54</f>
        <v>3585681.54</v>
      </c>
      <c r="N47" s="62">
        <f>1661165.54</f>
        <v>1661165.54</v>
      </c>
      <c r="O47" s="62">
        <f>640000</f>
        <v>640000</v>
      </c>
      <c r="P47" s="62">
        <f>270000</f>
        <v>270000</v>
      </c>
      <c r="Q47" s="62">
        <f>0</f>
        <v>0</v>
      </c>
      <c r="R47" s="62">
        <f>0</f>
        <v>0</v>
      </c>
      <c r="S47" s="62">
        <f>0</f>
        <v>0</v>
      </c>
      <c r="T47" s="62">
        <f>0</f>
        <v>0</v>
      </c>
      <c r="U47" s="62">
        <f>0</f>
        <v>0</v>
      </c>
      <c r="V47" s="62">
        <f>0</f>
        <v>0</v>
      </c>
      <c r="W47" s="62">
        <f>0</f>
        <v>0</v>
      </c>
      <c r="X47" s="62">
        <f>0</f>
        <v>0</v>
      </c>
      <c r="Y47" s="62">
        <f>0</f>
        <v>0</v>
      </c>
      <c r="Z47" s="62">
        <f>0</f>
        <v>0</v>
      </c>
      <c r="AA47" s="62">
        <f>0</f>
        <v>0</v>
      </c>
      <c r="AB47" s="62">
        <f>0</f>
        <v>0</v>
      </c>
      <c r="AC47" s="62">
        <f>0</f>
        <v>0</v>
      </c>
      <c r="AD47" s="62">
        <f>0</f>
        <v>0</v>
      </c>
      <c r="AE47" s="62">
        <f>0</f>
        <v>0</v>
      </c>
      <c r="AF47" s="62">
        <f>0</f>
        <v>0</v>
      </c>
      <c r="AG47" s="62">
        <f>0</f>
        <v>0</v>
      </c>
      <c r="AH47" s="62">
        <f>0</f>
        <v>0</v>
      </c>
      <c r="AI47" s="62">
        <f>0</f>
        <v>0</v>
      </c>
      <c r="AJ47" s="62">
        <f>0</f>
        <v>0</v>
      </c>
      <c r="AK47" s="62">
        <f>0</f>
        <v>0</v>
      </c>
      <c r="AL47" s="63">
        <f>0</f>
        <v>0</v>
      </c>
      <c r="AM47" s="64"/>
    </row>
    <row r="48" spans="2:39" ht="36.75" customHeight="1" outlineLevel="1">
      <c r="B48" s="55">
        <v>7</v>
      </c>
      <c r="C48" s="56" t="s">
        <v>164</v>
      </c>
      <c r="D48" s="57" t="s">
        <v>164</v>
      </c>
      <c r="E48" s="58">
        <f>0</f>
        <v>0</v>
      </c>
      <c r="F48" s="59">
        <f>0</f>
        <v>0</v>
      </c>
      <c r="G48" s="59">
        <f>0</f>
        <v>0</v>
      </c>
      <c r="H48" s="60">
        <f>0</f>
        <v>0</v>
      </c>
      <c r="I48" s="61">
        <f>0</f>
        <v>0</v>
      </c>
      <c r="J48" s="62">
        <f>0</f>
        <v>0</v>
      </c>
      <c r="K48" s="62">
        <f>0</f>
        <v>0</v>
      </c>
      <c r="L48" s="62">
        <f>0</f>
        <v>0</v>
      </c>
      <c r="M48" s="62">
        <f>0</f>
        <v>0</v>
      </c>
      <c r="N48" s="62">
        <f>0</f>
        <v>0</v>
      </c>
      <c r="O48" s="62">
        <f>0</f>
        <v>0</v>
      </c>
      <c r="P48" s="62">
        <f>0</f>
        <v>0</v>
      </c>
      <c r="Q48" s="62">
        <f>0</f>
        <v>0</v>
      </c>
      <c r="R48" s="62">
        <f>0</f>
        <v>0</v>
      </c>
      <c r="S48" s="62">
        <f>0</f>
        <v>0</v>
      </c>
      <c r="T48" s="62">
        <f>0</f>
        <v>0</v>
      </c>
      <c r="U48" s="62">
        <f>0</f>
        <v>0</v>
      </c>
      <c r="V48" s="62">
        <f>0</f>
        <v>0</v>
      </c>
      <c r="W48" s="62">
        <f>0</f>
        <v>0</v>
      </c>
      <c r="X48" s="62">
        <f>0</f>
        <v>0</v>
      </c>
      <c r="Y48" s="62">
        <f>0</f>
        <v>0</v>
      </c>
      <c r="Z48" s="62">
        <f>0</f>
        <v>0</v>
      </c>
      <c r="AA48" s="62">
        <f>0</f>
        <v>0</v>
      </c>
      <c r="AB48" s="62">
        <f>0</f>
        <v>0</v>
      </c>
      <c r="AC48" s="62">
        <f>0</f>
        <v>0</v>
      </c>
      <c r="AD48" s="62">
        <f>0</f>
        <v>0</v>
      </c>
      <c r="AE48" s="62">
        <f>0</f>
        <v>0</v>
      </c>
      <c r="AF48" s="62">
        <f>0</f>
        <v>0</v>
      </c>
      <c r="AG48" s="62">
        <f>0</f>
        <v>0</v>
      </c>
      <c r="AH48" s="62">
        <f>0</f>
        <v>0</v>
      </c>
      <c r="AI48" s="62">
        <f>0</f>
        <v>0</v>
      </c>
      <c r="AJ48" s="62">
        <f>0</f>
        <v>0</v>
      </c>
      <c r="AK48" s="62">
        <f>0</f>
        <v>0</v>
      </c>
      <c r="AL48" s="63">
        <f>0</f>
        <v>0</v>
      </c>
      <c r="AM48" s="64"/>
    </row>
    <row r="49" spans="2:39" ht="15" outlineLevel="1">
      <c r="B49" s="55">
        <v>8</v>
      </c>
      <c r="C49" s="56" t="s">
        <v>165</v>
      </c>
      <c r="D49" s="57" t="s">
        <v>165</v>
      </c>
      <c r="E49" s="78" t="s">
        <v>71</v>
      </c>
      <c r="F49" s="79" t="s">
        <v>71</v>
      </c>
      <c r="G49" s="79" t="s">
        <v>71</v>
      </c>
      <c r="H49" s="80" t="s">
        <v>71</v>
      </c>
      <c r="I49" s="81" t="s">
        <v>71</v>
      </c>
      <c r="J49" s="82" t="s">
        <v>71</v>
      </c>
      <c r="K49" s="82" t="s">
        <v>71</v>
      </c>
      <c r="L49" s="82" t="s">
        <v>71</v>
      </c>
      <c r="M49" s="82" t="s">
        <v>71</v>
      </c>
      <c r="N49" s="82" t="s">
        <v>71</v>
      </c>
      <c r="O49" s="82" t="s">
        <v>71</v>
      </c>
      <c r="P49" s="82" t="s">
        <v>71</v>
      </c>
      <c r="Q49" s="82" t="s">
        <v>71</v>
      </c>
      <c r="R49" s="82" t="s">
        <v>71</v>
      </c>
      <c r="S49" s="82" t="s">
        <v>71</v>
      </c>
      <c r="T49" s="82" t="s">
        <v>71</v>
      </c>
      <c r="U49" s="82" t="s">
        <v>71</v>
      </c>
      <c r="V49" s="82" t="s">
        <v>71</v>
      </c>
      <c r="W49" s="82" t="s">
        <v>71</v>
      </c>
      <c r="X49" s="82" t="s">
        <v>71</v>
      </c>
      <c r="Y49" s="82" t="s">
        <v>71</v>
      </c>
      <c r="Z49" s="82" t="s">
        <v>71</v>
      </c>
      <c r="AA49" s="82" t="s">
        <v>71</v>
      </c>
      <c r="AB49" s="82" t="s">
        <v>71</v>
      </c>
      <c r="AC49" s="82" t="s">
        <v>71</v>
      </c>
      <c r="AD49" s="82" t="s">
        <v>71</v>
      </c>
      <c r="AE49" s="82" t="s">
        <v>71</v>
      </c>
      <c r="AF49" s="82" t="s">
        <v>71</v>
      </c>
      <c r="AG49" s="82" t="s">
        <v>71</v>
      </c>
      <c r="AH49" s="82" t="s">
        <v>71</v>
      </c>
      <c r="AI49" s="82" t="s">
        <v>71</v>
      </c>
      <c r="AJ49" s="82" t="s">
        <v>71</v>
      </c>
      <c r="AK49" s="82" t="s">
        <v>71</v>
      </c>
      <c r="AL49" s="83" t="s">
        <v>71</v>
      </c>
      <c r="AM49" s="64"/>
    </row>
    <row r="50" spans="2:38" ht="14.25" outlineLevel="2">
      <c r="B50" s="65" t="s">
        <v>166</v>
      </c>
      <c r="C50" s="74" t="s">
        <v>167</v>
      </c>
      <c r="D50" s="67" t="s">
        <v>168</v>
      </c>
      <c r="E50" s="68">
        <f>1638980.14</f>
        <v>1638980.14</v>
      </c>
      <c r="F50" s="69">
        <f>1649640.47</f>
        <v>1649640.47</v>
      </c>
      <c r="G50" s="69">
        <f>1743545.91</f>
        <v>1743545.91</v>
      </c>
      <c r="H50" s="70">
        <f>1895937.08</f>
        <v>1895937.08</v>
      </c>
      <c r="I50" s="71">
        <f>5381766.2</f>
        <v>5381766.2</v>
      </c>
      <c r="J50" s="72">
        <f>4392434</f>
        <v>4392434</v>
      </c>
      <c r="K50" s="72">
        <f>4509324</f>
        <v>4509324</v>
      </c>
      <c r="L50" s="72">
        <f>4627750</f>
        <v>4627750</v>
      </c>
      <c r="M50" s="72">
        <f>4747726</f>
        <v>4747726</v>
      </c>
      <c r="N50" s="72">
        <f>4869270</f>
        <v>4869270</v>
      </c>
      <c r="O50" s="72">
        <f>4992401</f>
        <v>4992401</v>
      </c>
      <c r="P50" s="72">
        <f>5117135</f>
        <v>5117135</v>
      </c>
      <c r="Q50" s="72">
        <f>5243490</f>
        <v>5243490</v>
      </c>
      <c r="R50" s="72">
        <f>0</f>
        <v>0</v>
      </c>
      <c r="S50" s="72">
        <f>0</f>
        <v>0</v>
      </c>
      <c r="T50" s="72">
        <f>0</f>
        <v>0</v>
      </c>
      <c r="U50" s="72">
        <f>0</f>
        <v>0</v>
      </c>
      <c r="V50" s="72">
        <f>0</f>
        <v>0</v>
      </c>
      <c r="W50" s="72">
        <f>0</f>
        <v>0</v>
      </c>
      <c r="X50" s="72">
        <f>0</f>
        <v>0</v>
      </c>
      <c r="Y50" s="72">
        <f>0</f>
        <v>0</v>
      </c>
      <c r="Z50" s="72">
        <f>0</f>
        <v>0</v>
      </c>
      <c r="AA50" s="72">
        <f>0</f>
        <v>0</v>
      </c>
      <c r="AB50" s="72">
        <f>0</f>
        <v>0</v>
      </c>
      <c r="AC50" s="72">
        <f>0</f>
        <v>0</v>
      </c>
      <c r="AD50" s="72">
        <f>0</f>
        <v>0</v>
      </c>
      <c r="AE50" s="72">
        <f>0</f>
        <v>0</v>
      </c>
      <c r="AF50" s="72">
        <f>0</f>
        <v>0</v>
      </c>
      <c r="AG50" s="72">
        <f>0</f>
        <v>0</v>
      </c>
      <c r="AH50" s="72">
        <f>0</f>
        <v>0</v>
      </c>
      <c r="AI50" s="72">
        <f>0</f>
        <v>0</v>
      </c>
      <c r="AJ50" s="72">
        <f>0</f>
        <v>0</v>
      </c>
      <c r="AK50" s="72">
        <f>0</f>
        <v>0</v>
      </c>
      <c r="AL50" s="73">
        <f>0</f>
        <v>0</v>
      </c>
    </row>
    <row r="51" spans="2:38" ht="24" outlineLevel="2">
      <c r="B51" s="65" t="s">
        <v>169</v>
      </c>
      <c r="C51" s="74" t="s">
        <v>170</v>
      </c>
      <c r="D51" s="67" t="s">
        <v>171</v>
      </c>
      <c r="E51" s="68">
        <f>2961358.14</f>
        <v>2961358.14</v>
      </c>
      <c r="F51" s="69">
        <f>2308202.47</f>
        <v>2308202.47</v>
      </c>
      <c r="G51" s="69">
        <f>1743545.91</f>
        <v>1743545.91</v>
      </c>
      <c r="H51" s="70">
        <f>1895937.08</f>
        <v>1895937.08</v>
      </c>
      <c r="I51" s="71">
        <f>5711273.59</f>
        <v>5711273.59</v>
      </c>
      <c r="J51" s="72">
        <f>4392434</f>
        <v>4392434</v>
      </c>
      <c r="K51" s="72">
        <f>4509324</f>
        <v>4509324</v>
      </c>
      <c r="L51" s="72">
        <f>4627750</f>
        <v>4627750</v>
      </c>
      <c r="M51" s="72">
        <f>4747726</f>
        <v>4747726</v>
      </c>
      <c r="N51" s="72">
        <f>4869270</f>
        <v>4869270</v>
      </c>
      <c r="O51" s="72">
        <f>4992401</f>
        <v>4992401</v>
      </c>
      <c r="P51" s="72">
        <f>5117135</f>
        <v>5117135</v>
      </c>
      <c r="Q51" s="72">
        <f>5243490</f>
        <v>5243490</v>
      </c>
      <c r="R51" s="72">
        <f>0</f>
        <v>0</v>
      </c>
      <c r="S51" s="72">
        <f>0</f>
        <v>0</v>
      </c>
      <c r="T51" s="72">
        <f>0</f>
        <v>0</v>
      </c>
      <c r="U51" s="72">
        <f>0</f>
        <v>0</v>
      </c>
      <c r="V51" s="72">
        <f>0</f>
        <v>0</v>
      </c>
      <c r="W51" s="72">
        <f>0</f>
        <v>0</v>
      </c>
      <c r="X51" s="72">
        <f>0</f>
        <v>0</v>
      </c>
      <c r="Y51" s="72">
        <f>0</f>
        <v>0</v>
      </c>
      <c r="Z51" s="72">
        <f>0</f>
        <v>0</v>
      </c>
      <c r="AA51" s="72">
        <f>0</f>
        <v>0</v>
      </c>
      <c r="AB51" s="72">
        <f>0</f>
        <v>0</v>
      </c>
      <c r="AC51" s="72">
        <f>0</f>
        <v>0</v>
      </c>
      <c r="AD51" s="72">
        <f>0</f>
        <v>0</v>
      </c>
      <c r="AE51" s="72">
        <f>0</f>
        <v>0</v>
      </c>
      <c r="AF51" s="72">
        <f>0</f>
        <v>0</v>
      </c>
      <c r="AG51" s="72">
        <f>0</f>
        <v>0</v>
      </c>
      <c r="AH51" s="72">
        <f>0</f>
        <v>0</v>
      </c>
      <c r="AI51" s="72">
        <f>0</f>
        <v>0</v>
      </c>
      <c r="AJ51" s="72">
        <f>0</f>
        <v>0</v>
      </c>
      <c r="AK51" s="72">
        <f>0</f>
        <v>0</v>
      </c>
      <c r="AL51" s="73">
        <f>0</f>
        <v>0</v>
      </c>
    </row>
    <row r="52" spans="1:39" ht="15" outlineLevel="1">
      <c r="A52" s="25" t="s">
        <v>71</v>
      </c>
      <c r="B52" s="55">
        <v>9</v>
      </c>
      <c r="C52" s="56" t="s">
        <v>172</v>
      </c>
      <c r="D52" s="57" t="s">
        <v>172</v>
      </c>
      <c r="E52" s="78" t="s">
        <v>71</v>
      </c>
      <c r="F52" s="79" t="s">
        <v>71</v>
      </c>
      <c r="G52" s="79" t="s">
        <v>71</v>
      </c>
      <c r="H52" s="80" t="s">
        <v>71</v>
      </c>
      <c r="I52" s="81" t="s">
        <v>71</v>
      </c>
      <c r="J52" s="82" t="s">
        <v>71</v>
      </c>
      <c r="K52" s="82" t="s">
        <v>71</v>
      </c>
      <c r="L52" s="82" t="s">
        <v>71</v>
      </c>
      <c r="M52" s="82" t="s">
        <v>71</v>
      </c>
      <c r="N52" s="82" t="s">
        <v>71</v>
      </c>
      <c r="O52" s="82" t="s">
        <v>71</v>
      </c>
      <c r="P52" s="82" t="s">
        <v>71</v>
      </c>
      <c r="Q52" s="82" t="s">
        <v>71</v>
      </c>
      <c r="R52" s="82" t="s">
        <v>71</v>
      </c>
      <c r="S52" s="82" t="s">
        <v>71</v>
      </c>
      <c r="T52" s="82" t="s">
        <v>71</v>
      </c>
      <c r="U52" s="82" t="s">
        <v>71</v>
      </c>
      <c r="V52" s="82" t="s">
        <v>71</v>
      </c>
      <c r="W52" s="82" t="s">
        <v>71</v>
      </c>
      <c r="X52" s="82" t="s">
        <v>71</v>
      </c>
      <c r="Y52" s="82" t="s">
        <v>71</v>
      </c>
      <c r="Z52" s="82" t="s">
        <v>71</v>
      </c>
      <c r="AA52" s="82" t="s">
        <v>71</v>
      </c>
      <c r="AB52" s="82" t="s">
        <v>71</v>
      </c>
      <c r="AC52" s="82" t="s">
        <v>71</v>
      </c>
      <c r="AD52" s="82" t="s">
        <v>71</v>
      </c>
      <c r="AE52" s="82" t="s">
        <v>71</v>
      </c>
      <c r="AF52" s="82" t="s">
        <v>71</v>
      </c>
      <c r="AG52" s="82" t="s">
        <v>71</v>
      </c>
      <c r="AH52" s="82" t="s">
        <v>71</v>
      </c>
      <c r="AI52" s="82" t="s">
        <v>71</v>
      </c>
      <c r="AJ52" s="82" t="s">
        <v>71</v>
      </c>
      <c r="AK52" s="82" t="s">
        <v>71</v>
      </c>
      <c r="AL52" s="83" t="s">
        <v>71</v>
      </c>
      <c r="AM52" s="64"/>
    </row>
    <row r="53" spans="1:38" ht="48" customHeight="1" outlineLevel="2">
      <c r="A53" s="25" t="s">
        <v>71</v>
      </c>
      <c r="B53" s="65" t="s">
        <v>173</v>
      </c>
      <c r="C53" s="74" t="s">
        <v>174</v>
      </c>
      <c r="D53" s="67" t="s">
        <v>175</v>
      </c>
      <c r="E53" s="84">
        <f>0.1295</f>
        <v>0.1295</v>
      </c>
      <c r="F53" s="85">
        <f>0.124</f>
        <v>0.124</v>
      </c>
      <c r="G53" s="85">
        <f>0.1193</f>
        <v>0.1193</v>
      </c>
      <c r="H53" s="86">
        <f>0.1065</f>
        <v>0.1065</v>
      </c>
      <c r="I53" s="87">
        <f>0.126</f>
        <v>0.126</v>
      </c>
      <c r="J53" s="88">
        <f>0.1186</f>
        <v>0.1186</v>
      </c>
      <c r="K53" s="88">
        <f>0.1129</f>
        <v>0.1129</v>
      </c>
      <c r="L53" s="88">
        <f>0.1084</f>
        <v>0.1084</v>
      </c>
      <c r="M53" s="88">
        <f>0.1048</f>
        <v>0.1048</v>
      </c>
      <c r="N53" s="88">
        <f>0.1</f>
        <v>0.1</v>
      </c>
      <c r="O53" s="88">
        <f>0.0537</f>
        <v>0.0537</v>
      </c>
      <c r="P53" s="88">
        <f>0.0209</f>
        <v>0.0209</v>
      </c>
      <c r="Q53" s="88">
        <f>0.0151</f>
        <v>0.0151</v>
      </c>
      <c r="R53" s="88">
        <f>0</f>
        <v>0</v>
      </c>
      <c r="S53" s="88">
        <f>0</f>
        <v>0</v>
      </c>
      <c r="T53" s="88">
        <f>0</f>
        <v>0</v>
      </c>
      <c r="U53" s="88">
        <f>0</f>
        <v>0</v>
      </c>
      <c r="V53" s="88">
        <f>0</f>
        <v>0</v>
      </c>
      <c r="W53" s="88">
        <f>0</f>
        <v>0</v>
      </c>
      <c r="X53" s="88">
        <f>0</f>
        <v>0</v>
      </c>
      <c r="Y53" s="88">
        <f>0</f>
        <v>0</v>
      </c>
      <c r="Z53" s="88">
        <f>0</f>
        <v>0</v>
      </c>
      <c r="AA53" s="88">
        <f>0</f>
        <v>0</v>
      </c>
      <c r="AB53" s="88">
        <f>0</f>
        <v>0</v>
      </c>
      <c r="AC53" s="88">
        <f>0</f>
        <v>0</v>
      </c>
      <c r="AD53" s="88">
        <f>0</f>
        <v>0</v>
      </c>
      <c r="AE53" s="88">
        <f>0</f>
        <v>0</v>
      </c>
      <c r="AF53" s="88">
        <f>0</f>
        <v>0</v>
      </c>
      <c r="AG53" s="88">
        <f>0</f>
        <v>0</v>
      </c>
      <c r="AH53" s="88">
        <f>0</f>
        <v>0</v>
      </c>
      <c r="AI53" s="88">
        <f>0</f>
        <v>0</v>
      </c>
      <c r="AJ53" s="88">
        <f>0</f>
        <v>0</v>
      </c>
      <c r="AK53" s="88">
        <f>0</f>
        <v>0</v>
      </c>
      <c r="AL53" s="89">
        <f>0</f>
        <v>0</v>
      </c>
    </row>
    <row r="54" spans="1:38" ht="50.25" customHeight="1" outlineLevel="2">
      <c r="A54" s="25" t="s">
        <v>71</v>
      </c>
      <c r="B54" s="65" t="s">
        <v>176</v>
      </c>
      <c r="C54" s="74" t="s">
        <v>177</v>
      </c>
      <c r="D54" s="67" t="s">
        <v>178</v>
      </c>
      <c r="E54" s="84">
        <f>0.1097</f>
        <v>0.1097</v>
      </c>
      <c r="F54" s="85">
        <f>0.068</f>
        <v>0.068</v>
      </c>
      <c r="G54" s="85">
        <f>0.0768</f>
        <v>0.0768</v>
      </c>
      <c r="H54" s="86">
        <f>0.0704</f>
        <v>0.0704</v>
      </c>
      <c r="I54" s="87">
        <f>0.0983</f>
        <v>0.0983</v>
      </c>
      <c r="J54" s="88">
        <f>0.1186</f>
        <v>0.1186</v>
      </c>
      <c r="K54" s="88">
        <f>0.1129</f>
        <v>0.1129</v>
      </c>
      <c r="L54" s="88">
        <f>0.1084</f>
        <v>0.1084</v>
      </c>
      <c r="M54" s="88">
        <f>0.1048</f>
        <v>0.1048</v>
      </c>
      <c r="N54" s="88">
        <f>0.1</f>
        <v>0.1</v>
      </c>
      <c r="O54" s="88">
        <f>0.0537</f>
        <v>0.0537</v>
      </c>
      <c r="P54" s="88">
        <f>0.0209</f>
        <v>0.0209</v>
      </c>
      <c r="Q54" s="88">
        <f>0.0151</f>
        <v>0.0151</v>
      </c>
      <c r="R54" s="88">
        <f>0</f>
        <v>0</v>
      </c>
      <c r="S54" s="88">
        <f>0</f>
        <v>0</v>
      </c>
      <c r="T54" s="88">
        <f>0</f>
        <v>0</v>
      </c>
      <c r="U54" s="88">
        <f>0</f>
        <v>0</v>
      </c>
      <c r="V54" s="88">
        <f>0</f>
        <v>0</v>
      </c>
      <c r="W54" s="88">
        <f>0</f>
        <v>0</v>
      </c>
      <c r="X54" s="88">
        <f>0</f>
        <v>0</v>
      </c>
      <c r="Y54" s="88">
        <f>0</f>
        <v>0</v>
      </c>
      <c r="Z54" s="88">
        <f>0</f>
        <v>0</v>
      </c>
      <c r="AA54" s="88">
        <f>0</f>
        <v>0</v>
      </c>
      <c r="AB54" s="88">
        <f>0</f>
        <v>0</v>
      </c>
      <c r="AC54" s="88">
        <f>0</f>
        <v>0</v>
      </c>
      <c r="AD54" s="88">
        <f>0</f>
        <v>0</v>
      </c>
      <c r="AE54" s="88">
        <f>0</f>
        <v>0</v>
      </c>
      <c r="AF54" s="88">
        <f>0</f>
        <v>0</v>
      </c>
      <c r="AG54" s="88">
        <f>0</f>
        <v>0</v>
      </c>
      <c r="AH54" s="88">
        <f>0</f>
        <v>0</v>
      </c>
      <c r="AI54" s="88">
        <f>0</f>
        <v>0</v>
      </c>
      <c r="AJ54" s="88">
        <f>0</f>
        <v>0</v>
      </c>
      <c r="AK54" s="88">
        <f>0</f>
        <v>0</v>
      </c>
      <c r="AL54" s="89">
        <f>0</f>
        <v>0</v>
      </c>
    </row>
    <row r="55" spans="1:38" ht="39.75" customHeight="1" outlineLevel="2">
      <c r="A55" s="25" t="s">
        <v>71</v>
      </c>
      <c r="B55" s="65" t="s">
        <v>179</v>
      </c>
      <c r="C55" s="74" t="s">
        <v>180</v>
      </c>
      <c r="D55" s="67" t="s">
        <v>181</v>
      </c>
      <c r="E55" s="68">
        <f>0</f>
        <v>0</v>
      </c>
      <c r="F55" s="69">
        <f>0</f>
        <v>0</v>
      </c>
      <c r="G55" s="69">
        <f>0</f>
        <v>0</v>
      </c>
      <c r="H55" s="70">
        <f>0</f>
        <v>0</v>
      </c>
      <c r="I55" s="71">
        <f>0</f>
        <v>0</v>
      </c>
      <c r="J55" s="72">
        <f>0</f>
        <v>0</v>
      </c>
      <c r="K55" s="72">
        <f>0</f>
        <v>0</v>
      </c>
      <c r="L55" s="72">
        <f>0</f>
        <v>0</v>
      </c>
      <c r="M55" s="72">
        <f>0</f>
        <v>0</v>
      </c>
      <c r="N55" s="72">
        <f>0</f>
        <v>0</v>
      </c>
      <c r="O55" s="72">
        <f>0</f>
        <v>0</v>
      </c>
      <c r="P55" s="72">
        <f>0</f>
        <v>0</v>
      </c>
      <c r="Q55" s="72">
        <f>0</f>
        <v>0</v>
      </c>
      <c r="R55" s="72">
        <f>0</f>
        <v>0</v>
      </c>
      <c r="S55" s="72">
        <f>0</f>
        <v>0</v>
      </c>
      <c r="T55" s="72">
        <f>0</f>
        <v>0</v>
      </c>
      <c r="U55" s="72">
        <f>0</f>
        <v>0</v>
      </c>
      <c r="V55" s="72">
        <f>0</f>
        <v>0</v>
      </c>
      <c r="W55" s="72">
        <f>0</f>
        <v>0</v>
      </c>
      <c r="X55" s="72">
        <f>0</f>
        <v>0</v>
      </c>
      <c r="Y55" s="72">
        <f>0</f>
        <v>0</v>
      </c>
      <c r="Z55" s="72">
        <f>0</f>
        <v>0</v>
      </c>
      <c r="AA55" s="72">
        <f>0</f>
        <v>0</v>
      </c>
      <c r="AB55" s="72">
        <f>0</f>
        <v>0</v>
      </c>
      <c r="AC55" s="72">
        <f>0</f>
        <v>0</v>
      </c>
      <c r="AD55" s="72">
        <f>0</f>
        <v>0</v>
      </c>
      <c r="AE55" s="72">
        <f>0</f>
        <v>0</v>
      </c>
      <c r="AF55" s="72">
        <f>0</f>
        <v>0</v>
      </c>
      <c r="AG55" s="72">
        <f>0</f>
        <v>0</v>
      </c>
      <c r="AH55" s="72">
        <f>0</f>
        <v>0</v>
      </c>
      <c r="AI55" s="72">
        <f>0</f>
        <v>0</v>
      </c>
      <c r="AJ55" s="72">
        <f>0</f>
        <v>0</v>
      </c>
      <c r="AK55" s="72">
        <f>0</f>
        <v>0</v>
      </c>
      <c r="AL55" s="73">
        <f>0</f>
        <v>0</v>
      </c>
    </row>
    <row r="56" spans="1:38" ht="54.75" customHeight="1" outlineLevel="2">
      <c r="A56" s="25" t="s">
        <v>71</v>
      </c>
      <c r="B56" s="65" t="s">
        <v>182</v>
      </c>
      <c r="C56" s="74" t="s">
        <v>183</v>
      </c>
      <c r="D56" s="67" t="s">
        <v>184</v>
      </c>
      <c r="E56" s="84">
        <f>0.1097</f>
        <v>0.1097</v>
      </c>
      <c r="F56" s="85">
        <f>0.068</f>
        <v>0.068</v>
      </c>
      <c r="G56" s="85">
        <f>0.0768</f>
        <v>0.0768</v>
      </c>
      <c r="H56" s="86">
        <f>0.0704</f>
        <v>0.0704</v>
      </c>
      <c r="I56" s="87">
        <f>0.0983</f>
        <v>0.0983</v>
      </c>
      <c r="J56" s="88">
        <f>0.1186</f>
        <v>0.1186</v>
      </c>
      <c r="K56" s="88">
        <f>0.1129</f>
        <v>0.1129</v>
      </c>
      <c r="L56" s="88">
        <f>0.1084</f>
        <v>0.1084</v>
      </c>
      <c r="M56" s="88">
        <f>0.1048</f>
        <v>0.1048</v>
      </c>
      <c r="N56" s="88">
        <f>0.1</f>
        <v>0.1</v>
      </c>
      <c r="O56" s="88">
        <f>0.0537</f>
        <v>0.0537</v>
      </c>
      <c r="P56" s="88">
        <f>0.0209</f>
        <v>0.0209</v>
      </c>
      <c r="Q56" s="88">
        <f>0.0151</f>
        <v>0.0151</v>
      </c>
      <c r="R56" s="88">
        <f>0</f>
        <v>0</v>
      </c>
      <c r="S56" s="88">
        <f>0</f>
        <v>0</v>
      </c>
      <c r="T56" s="88">
        <f>0</f>
        <v>0</v>
      </c>
      <c r="U56" s="88">
        <f>0</f>
        <v>0</v>
      </c>
      <c r="V56" s="88">
        <f>0</f>
        <v>0</v>
      </c>
      <c r="W56" s="88">
        <f>0</f>
        <v>0</v>
      </c>
      <c r="X56" s="88">
        <f>0</f>
        <v>0</v>
      </c>
      <c r="Y56" s="88">
        <f>0</f>
        <v>0</v>
      </c>
      <c r="Z56" s="88">
        <f>0</f>
        <v>0</v>
      </c>
      <c r="AA56" s="88">
        <f>0</f>
        <v>0</v>
      </c>
      <c r="AB56" s="88">
        <f>0</f>
        <v>0</v>
      </c>
      <c r="AC56" s="88">
        <f>0</f>
        <v>0</v>
      </c>
      <c r="AD56" s="88">
        <f>0</f>
        <v>0</v>
      </c>
      <c r="AE56" s="88">
        <f>0</f>
        <v>0</v>
      </c>
      <c r="AF56" s="88">
        <f>0</f>
        <v>0</v>
      </c>
      <c r="AG56" s="88">
        <f>0</f>
        <v>0</v>
      </c>
      <c r="AH56" s="88">
        <f>0</f>
        <v>0</v>
      </c>
      <c r="AI56" s="88">
        <f>0</f>
        <v>0</v>
      </c>
      <c r="AJ56" s="88">
        <f>0</f>
        <v>0</v>
      </c>
      <c r="AK56" s="88">
        <f>0</f>
        <v>0</v>
      </c>
      <c r="AL56" s="89">
        <f>0</f>
        <v>0</v>
      </c>
    </row>
    <row r="57" spans="1:38" ht="36.75" customHeight="1" outlineLevel="2">
      <c r="A57" s="25" t="s">
        <v>71</v>
      </c>
      <c r="B57" s="90" t="s">
        <v>185</v>
      </c>
      <c r="C57" s="74" t="s">
        <v>186</v>
      </c>
      <c r="D57" s="91" t="s">
        <v>187</v>
      </c>
      <c r="E57" s="84">
        <f aca="true" t="shared" si="2" ref="E57:AL57">+IF(AND(E8&gt;=2013,E8&lt;=2018),IF(E9&lt;&gt;0,(E10+E18-E21+E24)/E9,0),IF(E9&lt;&gt;0,(E10+E18-E21)/E9,0))</f>
        <v>0.09344924958677611</v>
      </c>
      <c r="F57" s="85">
        <f t="shared" si="2"/>
        <v>0.13781055760360936</v>
      </c>
      <c r="G57" s="85">
        <f t="shared" si="2"/>
        <v>0.15610224653459254</v>
      </c>
      <c r="H57" s="86">
        <f t="shared" si="2"/>
        <v>0.12135346645423611</v>
      </c>
      <c r="I57" s="87">
        <f t="shared" si="2"/>
        <v>0.25450674583992217</v>
      </c>
      <c r="J57" s="88">
        <f t="shared" si="2"/>
        <v>0.24799939871927615</v>
      </c>
      <c r="K57" s="88">
        <f t="shared" si="2"/>
        <v>0.2516881345512876</v>
      </c>
      <c r="L57" s="88">
        <f t="shared" si="2"/>
        <v>0.2553586935406667</v>
      </c>
      <c r="M57" s="88">
        <f t="shared" si="2"/>
        <v>0.25901109022949503</v>
      </c>
      <c r="N57" s="88">
        <f t="shared" si="2"/>
        <v>0.2626453588076125</v>
      </c>
      <c r="O57" s="88">
        <f t="shared" si="2"/>
        <v>0.2662583245942967</v>
      </c>
      <c r="P57" s="88">
        <f t="shared" si="2"/>
        <v>0.2698600871343897</v>
      </c>
      <c r="Q57" s="88">
        <f t="shared" si="2"/>
        <v>0.2734406781872728</v>
      </c>
      <c r="R57" s="88">
        <f t="shared" si="2"/>
        <v>0</v>
      </c>
      <c r="S57" s="88">
        <f t="shared" si="2"/>
        <v>0</v>
      </c>
      <c r="T57" s="88">
        <f t="shared" si="2"/>
        <v>0</v>
      </c>
      <c r="U57" s="88">
        <f t="shared" si="2"/>
        <v>0</v>
      </c>
      <c r="V57" s="88">
        <f t="shared" si="2"/>
        <v>0</v>
      </c>
      <c r="W57" s="88">
        <f t="shared" si="2"/>
        <v>0</v>
      </c>
      <c r="X57" s="88">
        <f t="shared" si="2"/>
        <v>0</v>
      </c>
      <c r="Y57" s="88">
        <f t="shared" si="2"/>
        <v>0</v>
      </c>
      <c r="Z57" s="88">
        <f t="shared" si="2"/>
        <v>0</v>
      </c>
      <c r="AA57" s="88">
        <f t="shared" si="2"/>
        <v>0</v>
      </c>
      <c r="AB57" s="88">
        <f t="shared" si="2"/>
        <v>0</v>
      </c>
      <c r="AC57" s="88">
        <f t="shared" si="2"/>
        <v>0</v>
      </c>
      <c r="AD57" s="88">
        <f t="shared" si="2"/>
        <v>0</v>
      </c>
      <c r="AE57" s="88">
        <f t="shared" si="2"/>
        <v>0</v>
      </c>
      <c r="AF57" s="88">
        <f t="shared" si="2"/>
        <v>0</v>
      </c>
      <c r="AG57" s="88">
        <f t="shared" si="2"/>
        <v>0</v>
      </c>
      <c r="AH57" s="88">
        <f t="shared" si="2"/>
        <v>0</v>
      </c>
      <c r="AI57" s="88">
        <f t="shared" si="2"/>
        <v>0</v>
      </c>
      <c r="AJ57" s="88">
        <f t="shared" si="2"/>
        <v>0</v>
      </c>
      <c r="AK57" s="88">
        <f t="shared" si="2"/>
        <v>0</v>
      </c>
      <c r="AL57" s="89">
        <f t="shared" si="2"/>
        <v>0</v>
      </c>
    </row>
    <row r="58" spans="1:38" ht="47.25" customHeight="1" outlineLevel="2">
      <c r="A58" s="25" t="s">
        <v>71</v>
      </c>
      <c r="B58" s="65" t="s">
        <v>188</v>
      </c>
      <c r="C58" s="74" t="s">
        <v>189</v>
      </c>
      <c r="D58" s="67" t="s">
        <v>190</v>
      </c>
      <c r="E58" s="78" t="s">
        <v>71</v>
      </c>
      <c r="F58" s="79" t="s">
        <v>71</v>
      </c>
      <c r="G58" s="79" t="s">
        <v>71</v>
      </c>
      <c r="H58" s="80" t="s">
        <v>71</v>
      </c>
      <c r="I58" s="87">
        <f>0.1291</f>
        <v>0.1291</v>
      </c>
      <c r="J58" s="88">
        <f>0.1828</f>
        <v>0.1828</v>
      </c>
      <c r="K58" s="88">
        <f>0.2195</f>
        <v>0.2195</v>
      </c>
      <c r="L58" s="88">
        <f>0.2514</f>
        <v>0.2514</v>
      </c>
      <c r="M58" s="88">
        <f>0.2517</f>
        <v>0.2517</v>
      </c>
      <c r="N58" s="88">
        <f>0.2554</f>
        <v>0.2554</v>
      </c>
      <c r="O58" s="88">
        <f>0.259</f>
        <v>0.259</v>
      </c>
      <c r="P58" s="88">
        <f>0.2626</f>
        <v>0.2626</v>
      </c>
      <c r="Q58" s="88">
        <f>0.2663</f>
        <v>0.2663</v>
      </c>
      <c r="R58" s="88">
        <f>0</f>
        <v>0</v>
      </c>
      <c r="S58" s="88">
        <f>0</f>
        <v>0</v>
      </c>
      <c r="T58" s="88">
        <f>0</f>
        <v>0</v>
      </c>
      <c r="U58" s="88">
        <f>0</f>
        <v>0</v>
      </c>
      <c r="V58" s="88">
        <f>0</f>
        <v>0</v>
      </c>
      <c r="W58" s="88">
        <f>0</f>
        <v>0</v>
      </c>
      <c r="X58" s="88">
        <f>0</f>
        <v>0</v>
      </c>
      <c r="Y58" s="88">
        <f>0</f>
        <v>0</v>
      </c>
      <c r="Z58" s="88">
        <f>0</f>
        <v>0</v>
      </c>
      <c r="AA58" s="88">
        <f>0</f>
        <v>0</v>
      </c>
      <c r="AB58" s="88">
        <f>0</f>
        <v>0</v>
      </c>
      <c r="AC58" s="88">
        <f>0</f>
        <v>0</v>
      </c>
      <c r="AD58" s="88">
        <f>0</f>
        <v>0</v>
      </c>
      <c r="AE58" s="88">
        <f>0</f>
        <v>0</v>
      </c>
      <c r="AF58" s="88">
        <f>0</f>
        <v>0</v>
      </c>
      <c r="AG58" s="88">
        <f>0</f>
        <v>0</v>
      </c>
      <c r="AH58" s="88">
        <f>0</f>
        <v>0</v>
      </c>
      <c r="AI58" s="88">
        <f>0</f>
        <v>0</v>
      </c>
      <c r="AJ58" s="88">
        <f>0</f>
        <v>0</v>
      </c>
      <c r="AK58" s="88">
        <f>0</f>
        <v>0</v>
      </c>
      <c r="AL58" s="89">
        <f>0</f>
        <v>0</v>
      </c>
    </row>
    <row r="59" spans="1:38" ht="49.5" customHeight="1" outlineLevel="3">
      <c r="A59" s="25" t="s">
        <v>71</v>
      </c>
      <c r="B59" s="65" t="s">
        <v>191</v>
      </c>
      <c r="C59" s="74" t="s">
        <v>192</v>
      </c>
      <c r="D59" s="75" t="s">
        <v>193</v>
      </c>
      <c r="E59" s="78" t="s">
        <v>71</v>
      </c>
      <c r="F59" s="79" t="s">
        <v>71</v>
      </c>
      <c r="G59" s="79" t="s">
        <v>71</v>
      </c>
      <c r="H59" s="80" t="s">
        <v>71</v>
      </c>
      <c r="I59" s="87">
        <f>0.1175</f>
        <v>0.1175</v>
      </c>
      <c r="J59" s="88">
        <f>0.1712</f>
        <v>0.1712</v>
      </c>
      <c r="K59" s="88">
        <f>0.208</f>
        <v>0.208</v>
      </c>
      <c r="L59" s="88">
        <f>0.2514</f>
        <v>0.2514</v>
      </c>
      <c r="M59" s="88">
        <f>0.2517</f>
        <v>0.2517</v>
      </c>
      <c r="N59" s="88">
        <f>0.2554</f>
        <v>0.2554</v>
      </c>
      <c r="O59" s="88">
        <f>0.259</f>
        <v>0.259</v>
      </c>
      <c r="P59" s="88">
        <f>0.2626</f>
        <v>0.2626</v>
      </c>
      <c r="Q59" s="88">
        <f>0.2663</f>
        <v>0.2663</v>
      </c>
      <c r="R59" s="88">
        <f>0</f>
        <v>0</v>
      </c>
      <c r="S59" s="88">
        <f>0</f>
        <v>0</v>
      </c>
      <c r="T59" s="88">
        <f>0</f>
        <v>0</v>
      </c>
      <c r="U59" s="88">
        <f>0</f>
        <v>0</v>
      </c>
      <c r="V59" s="88">
        <f>0</f>
        <v>0</v>
      </c>
      <c r="W59" s="88">
        <f>0</f>
        <v>0</v>
      </c>
      <c r="X59" s="88">
        <f>0</f>
        <v>0</v>
      </c>
      <c r="Y59" s="88">
        <f>0</f>
        <v>0</v>
      </c>
      <c r="Z59" s="88">
        <f>0</f>
        <v>0</v>
      </c>
      <c r="AA59" s="88">
        <f>0</f>
        <v>0</v>
      </c>
      <c r="AB59" s="88">
        <f>0</f>
        <v>0</v>
      </c>
      <c r="AC59" s="88">
        <f>0</f>
        <v>0</v>
      </c>
      <c r="AD59" s="88">
        <f>0</f>
        <v>0</v>
      </c>
      <c r="AE59" s="88">
        <f>0</f>
        <v>0</v>
      </c>
      <c r="AF59" s="88">
        <f>0</f>
        <v>0</v>
      </c>
      <c r="AG59" s="88">
        <f>0</f>
        <v>0</v>
      </c>
      <c r="AH59" s="88">
        <f>0</f>
        <v>0</v>
      </c>
      <c r="AI59" s="88">
        <f>0</f>
        <v>0</v>
      </c>
      <c r="AJ59" s="88">
        <f>0</f>
        <v>0</v>
      </c>
      <c r="AK59" s="88">
        <f>0</f>
        <v>0</v>
      </c>
      <c r="AL59" s="89">
        <f>0</f>
        <v>0</v>
      </c>
    </row>
    <row r="60" spans="1:38" ht="49.5" customHeight="1" outlineLevel="2">
      <c r="A60" s="25" t="s">
        <v>71</v>
      </c>
      <c r="B60" s="65" t="s">
        <v>194</v>
      </c>
      <c r="C60" s="74" t="s">
        <v>195</v>
      </c>
      <c r="D60" s="67" t="s">
        <v>196</v>
      </c>
      <c r="E60" s="78" t="s">
        <v>71</v>
      </c>
      <c r="F60" s="79" t="s">
        <v>71</v>
      </c>
      <c r="G60" s="79" t="s">
        <v>71</v>
      </c>
      <c r="H60" s="80" t="s">
        <v>71</v>
      </c>
      <c r="I60" s="92" t="str">
        <f>IF(I56&lt;=I58,"Spełniona","Nie spełniona")</f>
        <v>Spełniona</v>
      </c>
      <c r="J60" s="93" t="str">
        <f aca="true" t="shared" si="3" ref="J60:AL60">IF(J56&lt;=J58,"Spełniona","Nie spełniona")</f>
        <v>Spełniona</v>
      </c>
      <c r="K60" s="93" t="str">
        <f t="shared" si="3"/>
        <v>Spełniona</v>
      </c>
      <c r="L60" s="93" t="str">
        <f t="shared" si="3"/>
        <v>Spełniona</v>
      </c>
      <c r="M60" s="93" t="str">
        <f t="shared" si="3"/>
        <v>Spełniona</v>
      </c>
      <c r="N60" s="93" t="str">
        <f t="shared" si="3"/>
        <v>Spełniona</v>
      </c>
      <c r="O60" s="93" t="str">
        <f t="shared" si="3"/>
        <v>Spełniona</v>
      </c>
      <c r="P60" s="93" t="str">
        <f t="shared" si="3"/>
        <v>Spełniona</v>
      </c>
      <c r="Q60" s="93" t="str">
        <f t="shared" si="3"/>
        <v>Spełniona</v>
      </c>
      <c r="R60" s="93" t="str">
        <f t="shared" si="3"/>
        <v>Spełniona</v>
      </c>
      <c r="S60" s="93" t="str">
        <f t="shared" si="3"/>
        <v>Spełniona</v>
      </c>
      <c r="T60" s="93" t="str">
        <f t="shared" si="3"/>
        <v>Spełniona</v>
      </c>
      <c r="U60" s="93" t="str">
        <f t="shared" si="3"/>
        <v>Spełniona</v>
      </c>
      <c r="V60" s="93" t="str">
        <f t="shared" si="3"/>
        <v>Spełniona</v>
      </c>
      <c r="W60" s="93" t="str">
        <f t="shared" si="3"/>
        <v>Spełniona</v>
      </c>
      <c r="X60" s="93" t="str">
        <f t="shared" si="3"/>
        <v>Spełniona</v>
      </c>
      <c r="Y60" s="93" t="str">
        <f t="shared" si="3"/>
        <v>Spełniona</v>
      </c>
      <c r="Z60" s="93" t="str">
        <f t="shared" si="3"/>
        <v>Spełniona</v>
      </c>
      <c r="AA60" s="93" t="str">
        <f t="shared" si="3"/>
        <v>Spełniona</v>
      </c>
      <c r="AB60" s="93" t="str">
        <f t="shared" si="3"/>
        <v>Spełniona</v>
      </c>
      <c r="AC60" s="93" t="str">
        <f t="shared" si="3"/>
        <v>Spełniona</v>
      </c>
      <c r="AD60" s="93" t="str">
        <f t="shared" si="3"/>
        <v>Spełniona</v>
      </c>
      <c r="AE60" s="93" t="str">
        <f t="shared" si="3"/>
        <v>Spełniona</v>
      </c>
      <c r="AF60" s="93" t="str">
        <f t="shared" si="3"/>
        <v>Spełniona</v>
      </c>
      <c r="AG60" s="93" t="str">
        <f t="shared" si="3"/>
        <v>Spełniona</v>
      </c>
      <c r="AH60" s="93" t="str">
        <f t="shared" si="3"/>
        <v>Spełniona</v>
      </c>
      <c r="AI60" s="93" t="str">
        <f t="shared" si="3"/>
        <v>Spełniona</v>
      </c>
      <c r="AJ60" s="93" t="str">
        <f t="shared" si="3"/>
        <v>Spełniona</v>
      </c>
      <c r="AK60" s="93" t="str">
        <f t="shared" si="3"/>
        <v>Spełniona</v>
      </c>
      <c r="AL60" s="94" t="str">
        <f t="shared" si="3"/>
        <v>Spełniona</v>
      </c>
    </row>
    <row r="61" spans="1:38" ht="48" customHeight="1" outlineLevel="3">
      <c r="A61" s="25" t="s">
        <v>71</v>
      </c>
      <c r="B61" s="65" t="s">
        <v>197</v>
      </c>
      <c r="C61" s="74" t="s">
        <v>198</v>
      </c>
      <c r="D61" s="75" t="s">
        <v>199</v>
      </c>
      <c r="E61" s="78" t="s">
        <v>71</v>
      </c>
      <c r="F61" s="79" t="s">
        <v>71</v>
      </c>
      <c r="G61" s="79" t="s">
        <v>71</v>
      </c>
      <c r="H61" s="80" t="s">
        <v>71</v>
      </c>
      <c r="I61" s="92" t="str">
        <f>IF(I56&lt;=I59,"Spełniona","Nie spełniona")</f>
        <v>Spełniona</v>
      </c>
      <c r="J61" s="93" t="str">
        <f aca="true" t="shared" si="4" ref="J61:AL61">IF(J56&lt;=J59,"Spełniona","Nie spełniona")</f>
        <v>Spełniona</v>
      </c>
      <c r="K61" s="93" t="str">
        <f t="shared" si="4"/>
        <v>Spełniona</v>
      </c>
      <c r="L61" s="93" t="str">
        <f t="shared" si="4"/>
        <v>Spełniona</v>
      </c>
      <c r="M61" s="93" t="str">
        <f t="shared" si="4"/>
        <v>Spełniona</v>
      </c>
      <c r="N61" s="93" t="str">
        <f t="shared" si="4"/>
        <v>Spełniona</v>
      </c>
      <c r="O61" s="93" t="str">
        <f t="shared" si="4"/>
        <v>Spełniona</v>
      </c>
      <c r="P61" s="93" t="str">
        <f t="shared" si="4"/>
        <v>Spełniona</v>
      </c>
      <c r="Q61" s="93" t="str">
        <f t="shared" si="4"/>
        <v>Spełniona</v>
      </c>
      <c r="R61" s="93" t="str">
        <f t="shared" si="4"/>
        <v>Spełniona</v>
      </c>
      <c r="S61" s="93" t="str">
        <f t="shared" si="4"/>
        <v>Spełniona</v>
      </c>
      <c r="T61" s="93" t="str">
        <f t="shared" si="4"/>
        <v>Spełniona</v>
      </c>
      <c r="U61" s="93" t="str">
        <f t="shared" si="4"/>
        <v>Spełniona</v>
      </c>
      <c r="V61" s="93" t="str">
        <f t="shared" si="4"/>
        <v>Spełniona</v>
      </c>
      <c r="W61" s="93" t="str">
        <f t="shared" si="4"/>
        <v>Spełniona</v>
      </c>
      <c r="X61" s="93" t="str">
        <f t="shared" si="4"/>
        <v>Spełniona</v>
      </c>
      <c r="Y61" s="93" t="str">
        <f t="shared" si="4"/>
        <v>Spełniona</v>
      </c>
      <c r="Z61" s="93" t="str">
        <f t="shared" si="4"/>
        <v>Spełniona</v>
      </c>
      <c r="AA61" s="93" t="str">
        <f t="shared" si="4"/>
        <v>Spełniona</v>
      </c>
      <c r="AB61" s="93" t="str">
        <f t="shared" si="4"/>
        <v>Spełniona</v>
      </c>
      <c r="AC61" s="93" t="str">
        <f t="shared" si="4"/>
        <v>Spełniona</v>
      </c>
      <c r="AD61" s="93" t="str">
        <f t="shared" si="4"/>
        <v>Spełniona</v>
      </c>
      <c r="AE61" s="93" t="str">
        <f t="shared" si="4"/>
        <v>Spełniona</v>
      </c>
      <c r="AF61" s="93" t="str">
        <f t="shared" si="4"/>
        <v>Spełniona</v>
      </c>
      <c r="AG61" s="93" t="str">
        <f t="shared" si="4"/>
        <v>Spełniona</v>
      </c>
      <c r="AH61" s="93" t="str">
        <f t="shared" si="4"/>
        <v>Spełniona</v>
      </c>
      <c r="AI61" s="93" t="str">
        <f t="shared" si="4"/>
        <v>Spełniona</v>
      </c>
      <c r="AJ61" s="93" t="str">
        <f t="shared" si="4"/>
        <v>Spełniona</v>
      </c>
      <c r="AK61" s="93" t="str">
        <f t="shared" si="4"/>
        <v>Spełniona</v>
      </c>
      <c r="AL61" s="94" t="str">
        <f t="shared" si="4"/>
        <v>Spełniona</v>
      </c>
    </row>
    <row r="62" spans="2:39" ht="15" outlineLevel="1">
      <c r="B62" s="55">
        <v>10</v>
      </c>
      <c r="C62" s="56" t="s">
        <v>200</v>
      </c>
      <c r="D62" s="57" t="s">
        <v>200</v>
      </c>
      <c r="E62" s="58">
        <f>0</f>
        <v>0</v>
      </c>
      <c r="F62" s="59">
        <f>0</f>
        <v>0</v>
      </c>
      <c r="G62" s="59">
        <f>0</f>
        <v>0</v>
      </c>
      <c r="H62" s="60">
        <f>0</f>
        <v>0</v>
      </c>
      <c r="I62" s="61">
        <f>2088362.1</f>
        <v>2088362.1</v>
      </c>
      <c r="J62" s="62">
        <f aca="true" t="shared" si="5" ref="J62:M63">1964516</f>
        <v>1964516</v>
      </c>
      <c r="K62" s="62">
        <f t="shared" si="5"/>
        <v>1964516</v>
      </c>
      <c r="L62" s="62">
        <f t="shared" si="5"/>
        <v>1964516</v>
      </c>
      <c r="M62" s="62">
        <f t="shared" si="5"/>
        <v>1964516</v>
      </c>
      <c r="N62" s="62">
        <f>1924516</f>
        <v>1924516</v>
      </c>
      <c r="O62" s="62">
        <f>1021165.54</f>
        <v>1021165.54</v>
      </c>
      <c r="P62" s="62">
        <f>370000</f>
        <v>370000</v>
      </c>
      <c r="Q62" s="62">
        <f>270000</f>
        <v>270000</v>
      </c>
      <c r="R62" s="62">
        <f>0</f>
        <v>0</v>
      </c>
      <c r="S62" s="62">
        <f>0</f>
        <v>0</v>
      </c>
      <c r="T62" s="62">
        <f>0</f>
        <v>0</v>
      </c>
      <c r="U62" s="62">
        <f>0</f>
        <v>0</v>
      </c>
      <c r="V62" s="62">
        <f>0</f>
        <v>0</v>
      </c>
      <c r="W62" s="62">
        <f>0</f>
        <v>0</v>
      </c>
      <c r="X62" s="62">
        <f>0</f>
        <v>0</v>
      </c>
      <c r="Y62" s="62">
        <f>0</f>
        <v>0</v>
      </c>
      <c r="Z62" s="62">
        <f>0</f>
        <v>0</v>
      </c>
      <c r="AA62" s="62">
        <f>0</f>
        <v>0</v>
      </c>
      <c r="AB62" s="62">
        <f>0</f>
        <v>0</v>
      </c>
      <c r="AC62" s="62">
        <f>0</f>
        <v>0</v>
      </c>
      <c r="AD62" s="62">
        <f>0</f>
        <v>0</v>
      </c>
      <c r="AE62" s="62">
        <f>0</f>
        <v>0</v>
      </c>
      <c r="AF62" s="62">
        <f>0</f>
        <v>0</v>
      </c>
      <c r="AG62" s="62">
        <f>0</f>
        <v>0</v>
      </c>
      <c r="AH62" s="62">
        <f>0</f>
        <v>0</v>
      </c>
      <c r="AI62" s="62">
        <f>0</f>
        <v>0</v>
      </c>
      <c r="AJ62" s="62">
        <f>0</f>
        <v>0</v>
      </c>
      <c r="AK62" s="62">
        <f>0</f>
        <v>0</v>
      </c>
      <c r="AL62" s="63">
        <f>0</f>
        <v>0</v>
      </c>
      <c r="AM62" s="64"/>
    </row>
    <row r="63" spans="2:38" ht="14.25" outlineLevel="2">
      <c r="B63" s="65" t="s">
        <v>201</v>
      </c>
      <c r="C63" s="74" t="s">
        <v>202</v>
      </c>
      <c r="D63" s="67" t="s">
        <v>203</v>
      </c>
      <c r="E63" s="68">
        <f>0</f>
        <v>0</v>
      </c>
      <c r="F63" s="69">
        <f>361034.95</f>
        <v>361034.95</v>
      </c>
      <c r="G63" s="69">
        <f>1864521</f>
        <v>1864521</v>
      </c>
      <c r="H63" s="70">
        <f>1411162.51</f>
        <v>1411162.51</v>
      </c>
      <c r="I63" s="71">
        <f>2088362.1</f>
        <v>2088362.1</v>
      </c>
      <c r="J63" s="72">
        <f t="shared" si="5"/>
        <v>1964516</v>
      </c>
      <c r="K63" s="72">
        <f t="shared" si="5"/>
        <v>1964516</v>
      </c>
      <c r="L63" s="72">
        <f t="shared" si="5"/>
        <v>1964516</v>
      </c>
      <c r="M63" s="72">
        <f t="shared" si="5"/>
        <v>1964516</v>
      </c>
      <c r="N63" s="72">
        <f>1924516</f>
        <v>1924516</v>
      </c>
      <c r="O63" s="72">
        <f>1021165.42</f>
        <v>1021165.42</v>
      </c>
      <c r="P63" s="72">
        <f>370000</f>
        <v>370000</v>
      </c>
      <c r="Q63" s="72">
        <f>270000</f>
        <v>270000</v>
      </c>
      <c r="R63" s="72">
        <f>0</f>
        <v>0</v>
      </c>
      <c r="S63" s="72">
        <f>0</f>
        <v>0</v>
      </c>
      <c r="T63" s="72">
        <f>0</f>
        <v>0</v>
      </c>
      <c r="U63" s="72">
        <f>0</f>
        <v>0</v>
      </c>
      <c r="V63" s="72">
        <f>0</f>
        <v>0</v>
      </c>
      <c r="W63" s="72">
        <f>0</f>
        <v>0</v>
      </c>
      <c r="X63" s="72">
        <f>0</f>
        <v>0</v>
      </c>
      <c r="Y63" s="72">
        <f>0</f>
        <v>0</v>
      </c>
      <c r="Z63" s="72">
        <f>0</f>
        <v>0</v>
      </c>
      <c r="AA63" s="72">
        <f>0</f>
        <v>0</v>
      </c>
      <c r="AB63" s="72">
        <f>0</f>
        <v>0</v>
      </c>
      <c r="AC63" s="72">
        <f>0</f>
        <v>0</v>
      </c>
      <c r="AD63" s="72">
        <f>0</f>
        <v>0</v>
      </c>
      <c r="AE63" s="72">
        <f>0</f>
        <v>0</v>
      </c>
      <c r="AF63" s="72">
        <f>0</f>
        <v>0</v>
      </c>
      <c r="AG63" s="72">
        <f>0</f>
        <v>0</v>
      </c>
      <c r="AH63" s="72">
        <f>0</f>
        <v>0</v>
      </c>
      <c r="AI63" s="72">
        <f>0</f>
        <v>0</v>
      </c>
      <c r="AJ63" s="72">
        <f>0</f>
        <v>0</v>
      </c>
      <c r="AK63" s="72">
        <f>0</f>
        <v>0</v>
      </c>
      <c r="AL63" s="73">
        <f>0</f>
        <v>0</v>
      </c>
    </row>
    <row r="64" spans="2:39" ht="15" outlineLevel="1">
      <c r="B64" s="55">
        <v>11</v>
      </c>
      <c r="C64" s="56" t="s">
        <v>204</v>
      </c>
      <c r="D64" s="57" t="s">
        <v>204</v>
      </c>
      <c r="E64" s="78" t="s">
        <v>71</v>
      </c>
      <c r="F64" s="79" t="s">
        <v>71</v>
      </c>
      <c r="G64" s="79" t="s">
        <v>71</v>
      </c>
      <c r="H64" s="80" t="s">
        <v>71</v>
      </c>
      <c r="I64" s="81" t="s">
        <v>71</v>
      </c>
      <c r="J64" s="82" t="s">
        <v>71</v>
      </c>
      <c r="K64" s="82" t="s">
        <v>71</v>
      </c>
      <c r="L64" s="82" t="s">
        <v>71</v>
      </c>
      <c r="M64" s="82" t="s">
        <v>71</v>
      </c>
      <c r="N64" s="82" t="s">
        <v>71</v>
      </c>
      <c r="O64" s="82" t="s">
        <v>71</v>
      </c>
      <c r="P64" s="82" t="s">
        <v>71</v>
      </c>
      <c r="Q64" s="82" t="s">
        <v>71</v>
      </c>
      <c r="R64" s="82" t="s">
        <v>71</v>
      </c>
      <c r="S64" s="82" t="s">
        <v>71</v>
      </c>
      <c r="T64" s="82" t="s">
        <v>71</v>
      </c>
      <c r="U64" s="82" t="s">
        <v>71</v>
      </c>
      <c r="V64" s="82" t="s">
        <v>71</v>
      </c>
      <c r="W64" s="82" t="s">
        <v>71</v>
      </c>
      <c r="X64" s="82" t="s">
        <v>71</v>
      </c>
      <c r="Y64" s="82" t="s">
        <v>71</v>
      </c>
      <c r="Z64" s="82" t="s">
        <v>71</v>
      </c>
      <c r="AA64" s="82" t="s">
        <v>71</v>
      </c>
      <c r="AB64" s="82" t="s">
        <v>71</v>
      </c>
      <c r="AC64" s="82" t="s">
        <v>71</v>
      </c>
      <c r="AD64" s="82" t="s">
        <v>71</v>
      </c>
      <c r="AE64" s="82" t="s">
        <v>71</v>
      </c>
      <c r="AF64" s="82" t="s">
        <v>71</v>
      </c>
      <c r="AG64" s="82" t="s">
        <v>71</v>
      </c>
      <c r="AH64" s="82" t="s">
        <v>71</v>
      </c>
      <c r="AI64" s="82" t="s">
        <v>71</v>
      </c>
      <c r="AJ64" s="82" t="s">
        <v>71</v>
      </c>
      <c r="AK64" s="82" t="s">
        <v>71</v>
      </c>
      <c r="AL64" s="83" t="s">
        <v>71</v>
      </c>
      <c r="AM64" s="64"/>
    </row>
    <row r="65" spans="2:38" ht="14.25" outlineLevel="2">
      <c r="B65" s="65" t="s">
        <v>205</v>
      </c>
      <c r="C65" s="74" t="s">
        <v>206</v>
      </c>
      <c r="D65" s="67" t="s">
        <v>207</v>
      </c>
      <c r="E65" s="68">
        <f>6513898.96</f>
        <v>6513898.96</v>
      </c>
      <c r="F65" s="69">
        <f>6622241.09</f>
        <v>6622241.09</v>
      </c>
      <c r="G65" s="69">
        <f>6687482.47</f>
        <v>6687482.47</v>
      </c>
      <c r="H65" s="70">
        <f>6302495.97</f>
        <v>6302495.97</v>
      </c>
      <c r="I65" s="71">
        <f>6816007.67</f>
        <v>6816007.67</v>
      </c>
      <c r="J65" s="72">
        <f>6019382</f>
        <v>6019382</v>
      </c>
      <c r="K65" s="72">
        <f>6079575</f>
        <v>6079575</v>
      </c>
      <c r="L65" s="72">
        <f>6140371</f>
        <v>6140371</v>
      </c>
      <c r="M65" s="72">
        <f>6201775</f>
        <v>6201775</v>
      </c>
      <c r="N65" s="72">
        <f>6263792</f>
        <v>6263792</v>
      </c>
      <c r="O65" s="72">
        <f>6326431</f>
        <v>6326431</v>
      </c>
      <c r="P65" s="72">
        <f>6389695</f>
        <v>6389695</v>
      </c>
      <c r="Q65" s="72">
        <f>6453593</f>
        <v>6453593</v>
      </c>
      <c r="R65" s="72">
        <f>0</f>
        <v>0</v>
      </c>
      <c r="S65" s="72">
        <f>0</f>
        <v>0</v>
      </c>
      <c r="T65" s="72">
        <f>0</f>
        <v>0</v>
      </c>
      <c r="U65" s="72">
        <f>0</f>
        <v>0</v>
      </c>
      <c r="V65" s="72">
        <f>0</f>
        <v>0</v>
      </c>
      <c r="W65" s="72">
        <f>0</f>
        <v>0</v>
      </c>
      <c r="X65" s="72">
        <f>0</f>
        <v>0</v>
      </c>
      <c r="Y65" s="72">
        <f>0</f>
        <v>0</v>
      </c>
      <c r="Z65" s="72">
        <f>0</f>
        <v>0</v>
      </c>
      <c r="AA65" s="72">
        <f>0</f>
        <v>0</v>
      </c>
      <c r="AB65" s="72">
        <f>0</f>
        <v>0</v>
      </c>
      <c r="AC65" s="72">
        <f>0</f>
        <v>0</v>
      </c>
      <c r="AD65" s="72">
        <f>0</f>
        <v>0</v>
      </c>
      <c r="AE65" s="72">
        <f>0</f>
        <v>0</v>
      </c>
      <c r="AF65" s="72">
        <f>0</f>
        <v>0</v>
      </c>
      <c r="AG65" s="72">
        <f>0</f>
        <v>0</v>
      </c>
      <c r="AH65" s="72">
        <f>0</f>
        <v>0</v>
      </c>
      <c r="AI65" s="72">
        <f>0</f>
        <v>0</v>
      </c>
      <c r="AJ65" s="72">
        <f>0</f>
        <v>0</v>
      </c>
      <c r="AK65" s="72">
        <f>0</f>
        <v>0</v>
      </c>
      <c r="AL65" s="73">
        <f>0</f>
        <v>0</v>
      </c>
    </row>
    <row r="66" spans="2:38" ht="15.75" customHeight="1" outlineLevel="2">
      <c r="B66" s="65" t="s">
        <v>208</v>
      </c>
      <c r="C66" s="74" t="s">
        <v>209</v>
      </c>
      <c r="D66" s="67" t="s">
        <v>210</v>
      </c>
      <c r="E66" s="68">
        <f>2731725.76</f>
        <v>2731725.76</v>
      </c>
      <c r="F66" s="69">
        <f>2810053.93</f>
        <v>2810053.93</v>
      </c>
      <c r="G66" s="69">
        <f>3042937</f>
        <v>3042937</v>
      </c>
      <c r="H66" s="70">
        <f>2738206.77</f>
        <v>2738206.77</v>
      </c>
      <c r="I66" s="71">
        <f>3346974</f>
        <v>3346974</v>
      </c>
      <c r="J66" s="72">
        <f>2961777</f>
        <v>2961777</v>
      </c>
      <c r="K66" s="72">
        <f>2991395</f>
        <v>2991395</v>
      </c>
      <c r="L66" s="72">
        <f>3021310</f>
        <v>3021310</v>
      </c>
      <c r="M66" s="72">
        <f>3051522</f>
        <v>3051522</v>
      </c>
      <c r="N66" s="72">
        <f>3082038</f>
        <v>3082038</v>
      </c>
      <c r="O66" s="72">
        <f>3112857</f>
        <v>3112857</v>
      </c>
      <c r="P66" s="72">
        <f>3143986</f>
        <v>3143986</v>
      </c>
      <c r="Q66" s="72">
        <f>3175425</f>
        <v>3175425</v>
      </c>
      <c r="R66" s="72">
        <f>0</f>
        <v>0</v>
      </c>
      <c r="S66" s="72">
        <f>0</f>
        <v>0</v>
      </c>
      <c r="T66" s="72">
        <f>0</f>
        <v>0</v>
      </c>
      <c r="U66" s="72">
        <f>0</f>
        <v>0</v>
      </c>
      <c r="V66" s="72">
        <f>0</f>
        <v>0</v>
      </c>
      <c r="W66" s="72">
        <f>0</f>
        <v>0</v>
      </c>
      <c r="X66" s="72">
        <f>0</f>
        <v>0</v>
      </c>
      <c r="Y66" s="72">
        <f>0</f>
        <v>0</v>
      </c>
      <c r="Z66" s="72">
        <f>0</f>
        <v>0</v>
      </c>
      <c r="AA66" s="72">
        <f>0</f>
        <v>0</v>
      </c>
      <c r="AB66" s="72">
        <f>0</f>
        <v>0</v>
      </c>
      <c r="AC66" s="72">
        <f>0</f>
        <v>0</v>
      </c>
      <c r="AD66" s="72">
        <f>0</f>
        <v>0</v>
      </c>
      <c r="AE66" s="72">
        <f>0</f>
        <v>0</v>
      </c>
      <c r="AF66" s="72">
        <f>0</f>
        <v>0</v>
      </c>
      <c r="AG66" s="72">
        <f>0</f>
        <v>0</v>
      </c>
      <c r="AH66" s="72">
        <f>0</f>
        <v>0</v>
      </c>
      <c r="AI66" s="72">
        <f>0</f>
        <v>0</v>
      </c>
      <c r="AJ66" s="72">
        <f>0</f>
        <v>0</v>
      </c>
      <c r="AK66" s="72">
        <f>0</f>
        <v>0</v>
      </c>
      <c r="AL66" s="73">
        <f>0</f>
        <v>0</v>
      </c>
    </row>
    <row r="67" spans="2:38" ht="15.75" customHeight="1" outlineLevel="2">
      <c r="B67" s="65" t="s">
        <v>211</v>
      </c>
      <c r="C67" s="74" t="s">
        <v>212</v>
      </c>
      <c r="D67" s="67" t="s">
        <v>213</v>
      </c>
      <c r="E67" s="68">
        <f>0</f>
        <v>0</v>
      </c>
      <c r="F67" s="69">
        <f>0</f>
        <v>0</v>
      </c>
      <c r="G67" s="69">
        <f>2537393</f>
        <v>2537393</v>
      </c>
      <c r="H67" s="70">
        <f>0</f>
        <v>0</v>
      </c>
      <c r="I67" s="71">
        <f>3642075</f>
        <v>3642075</v>
      </c>
      <c r="J67" s="72">
        <f>1185187</f>
        <v>1185187</v>
      </c>
      <c r="K67" s="72">
        <f>1280481</f>
        <v>1280481</v>
      </c>
      <c r="L67" s="72">
        <f>1617020</f>
        <v>1617020</v>
      </c>
      <c r="M67" s="72">
        <f>1450000</f>
        <v>1450000</v>
      </c>
      <c r="N67" s="72">
        <f>1690000</f>
        <v>1690000</v>
      </c>
      <c r="O67" s="72">
        <f>1640000</f>
        <v>1640000</v>
      </c>
      <c r="P67" s="72">
        <f>1440000</f>
        <v>1440000</v>
      </c>
      <c r="Q67" s="72">
        <f>1540000</f>
        <v>1540000</v>
      </c>
      <c r="R67" s="72">
        <f>0</f>
        <v>0</v>
      </c>
      <c r="S67" s="72">
        <f>0</f>
        <v>0</v>
      </c>
      <c r="T67" s="72">
        <f>0</f>
        <v>0</v>
      </c>
      <c r="U67" s="72">
        <f>0</f>
        <v>0</v>
      </c>
      <c r="V67" s="72">
        <f>0</f>
        <v>0</v>
      </c>
      <c r="W67" s="72">
        <f>0</f>
        <v>0</v>
      </c>
      <c r="X67" s="72">
        <f>0</f>
        <v>0</v>
      </c>
      <c r="Y67" s="72">
        <f>0</f>
        <v>0</v>
      </c>
      <c r="Z67" s="72">
        <f>0</f>
        <v>0</v>
      </c>
      <c r="AA67" s="72">
        <f>0</f>
        <v>0</v>
      </c>
      <c r="AB67" s="72">
        <f>0</f>
        <v>0</v>
      </c>
      <c r="AC67" s="72">
        <f>0</f>
        <v>0</v>
      </c>
      <c r="AD67" s="72">
        <f>0</f>
        <v>0</v>
      </c>
      <c r="AE67" s="72">
        <f>0</f>
        <v>0</v>
      </c>
      <c r="AF67" s="72">
        <f>0</f>
        <v>0</v>
      </c>
      <c r="AG67" s="72">
        <f>0</f>
        <v>0</v>
      </c>
      <c r="AH67" s="72">
        <f>0</f>
        <v>0</v>
      </c>
      <c r="AI67" s="72">
        <f>0</f>
        <v>0</v>
      </c>
      <c r="AJ67" s="72">
        <f>0</f>
        <v>0</v>
      </c>
      <c r="AK67" s="72">
        <f>0</f>
        <v>0</v>
      </c>
      <c r="AL67" s="73">
        <f>0</f>
        <v>0</v>
      </c>
    </row>
    <row r="68" spans="2:38" ht="14.25" outlineLevel="3">
      <c r="B68" s="65" t="s">
        <v>214</v>
      </c>
      <c r="C68" s="74" t="s">
        <v>215</v>
      </c>
      <c r="D68" s="75" t="s">
        <v>216</v>
      </c>
      <c r="E68" s="68">
        <f>0</f>
        <v>0</v>
      </c>
      <c r="F68" s="69">
        <f>0</f>
        <v>0</v>
      </c>
      <c r="G68" s="69">
        <f>651424</f>
        <v>651424</v>
      </c>
      <c r="H68" s="70">
        <f>0</f>
        <v>0</v>
      </c>
      <c r="I68" s="71">
        <f>310000</f>
        <v>310000</v>
      </c>
      <c r="J68" s="72">
        <f>60000</f>
        <v>60000</v>
      </c>
      <c r="K68" s="72">
        <f>60000</f>
        <v>60000</v>
      </c>
      <c r="L68" s="72">
        <f>60000</f>
        <v>60000</v>
      </c>
      <c r="M68" s="72">
        <f>60000</f>
        <v>60000</v>
      </c>
      <c r="N68" s="72">
        <f>0</f>
        <v>0</v>
      </c>
      <c r="O68" s="72">
        <f>0</f>
        <v>0</v>
      </c>
      <c r="P68" s="72">
        <f>0</f>
        <v>0</v>
      </c>
      <c r="Q68" s="72">
        <f>0</f>
        <v>0</v>
      </c>
      <c r="R68" s="72">
        <f>0</f>
        <v>0</v>
      </c>
      <c r="S68" s="72">
        <f>0</f>
        <v>0</v>
      </c>
      <c r="T68" s="72">
        <f>0</f>
        <v>0</v>
      </c>
      <c r="U68" s="72">
        <f>0</f>
        <v>0</v>
      </c>
      <c r="V68" s="72">
        <f>0</f>
        <v>0</v>
      </c>
      <c r="W68" s="72">
        <f>0</f>
        <v>0</v>
      </c>
      <c r="X68" s="72">
        <f>0</f>
        <v>0</v>
      </c>
      <c r="Y68" s="72">
        <f>0</f>
        <v>0</v>
      </c>
      <c r="Z68" s="72">
        <f>0</f>
        <v>0</v>
      </c>
      <c r="AA68" s="72">
        <f>0</f>
        <v>0</v>
      </c>
      <c r="AB68" s="72">
        <f>0</f>
        <v>0</v>
      </c>
      <c r="AC68" s="72">
        <f>0</f>
        <v>0</v>
      </c>
      <c r="AD68" s="72">
        <f>0</f>
        <v>0</v>
      </c>
      <c r="AE68" s="72">
        <f>0</f>
        <v>0</v>
      </c>
      <c r="AF68" s="72">
        <f>0</f>
        <v>0</v>
      </c>
      <c r="AG68" s="72">
        <f>0</f>
        <v>0</v>
      </c>
      <c r="AH68" s="72">
        <f>0</f>
        <v>0</v>
      </c>
      <c r="AI68" s="72">
        <f>0</f>
        <v>0</v>
      </c>
      <c r="AJ68" s="72">
        <f>0</f>
        <v>0</v>
      </c>
      <c r="AK68" s="72">
        <f>0</f>
        <v>0</v>
      </c>
      <c r="AL68" s="73">
        <f>0</f>
        <v>0</v>
      </c>
    </row>
    <row r="69" spans="2:38" ht="14.25" outlineLevel="3">
      <c r="B69" s="65" t="s">
        <v>217</v>
      </c>
      <c r="C69" s="74" t="s">
        <v>218</v>
      </c>
      <c r="D69" s="75" t="s">
        <v>219</v>
      </c>
      <c r="E69" s="68">
        <f>0</f>
        <v>0</v>
      </c>
      <c r="F69" s="69">
        <f>0</f>
        <v>0</v>
      </c>
      <c r="G69" s="69">
        <f>1885969</f>
        <v>1885969</v>
      </c>
      <c r="H69" s="70">
        <f>0</f>
        <v>0</v>
      </c>
      <c r="I69" s="71">
        <f>3332075</f>
        <v>3332075</v>
      </c>
      <c r="J69" s="72">
        <f>1125187</f>
        <v>1125187</v>
      </c>
      <c r="K69" s="72">
        <f>1220481</f>
        <v>1220481</v>
      </c>
      <c r="L69" s="72">
        <f>1557020</f>
        <v>1557020</v>
      </c>
      <c r="M69" s="72">
        <f>1390000</f>
        <v>1390000</v>
      </c>
      <c r="N69" s="72">
        <f>1690000</f>
        <v>1690000</v>
      </c>
      <c r="O69" s="72">
        <f>1640000</f>
        <v>1640000</v>
      </c>
      <c r="P69" s="72">
        <f>1440000</f>
        <v>1440000</v>
      </c>
      <c r="Q69" s="72">
        <f>1540000</f>
        <v>1540000</v>
      </c>
      <c r="R69" s="72">
        <f>0</f>
        <v>0</v>
      </c>
      <c r="S69" s="72">
        <f>0</f>
        <v>0</v>
      </c>
      <c r="T69" s="72">
        <f>0</f>
        <v>0</v>
      </c>
      <c r="U69" s="72">
        <f>0</f>
        <v>0</v>
      </c>
      <c r="V69" s="72">
        <f>0</f>
        <v>0</v>
      </c>
      <c r="W69" s="72">
        <f>0</f>
        <v>0</v>
      </c>
      <c r="X69" s="72">
        <f>0</f>
        <v>0</v>
      </c>
      <c r="Y69" s="72">
        <f>0</f>
        <v>0</v>
      </c>
      <c r="Z69" s="72">
        <f>0</f>
        <v>0</v>
      </c>
      <c r="AA69" s="72">
        <f>0</f>
        <v>0</v>
      </c>
      <c r="AB69" s="72">
        <f>0</f>
        <v>0</v>
      </c>
      <c r="AC69" s="72">
        <f>0</f>
        <v>0</v>
      </c>
      <c r="AD69" s="72">
        <f>0</f>
        <v>0</v>
      </c>
      <c r="AE69" s="72">
        <f>0</f>
        <v>0</v>
      </c>
      <c r="AF69" s="72">
        <f>0</f>
        <v>0</v>
      </c>
      <c r="AG69" s="72">
        <f>0</f>
        <v>0</v>
      </c>
      <c r="AH69" s="72">
        <f>0</f>
        <v>0</v>
      </c>
      <c r="AI69" s="72">
        <f>0</f>
        <v>0</v>
      </c>
      <c r="AJ69" s="72">
        <f>0</f>
        <v>0</v>
      </c>
      <c r="AK69" s="72">
        <f>0</f>
        <v>0</v>
      </c>
      <c r="AL69" s="73">
        <f>0</f>
        <v>0</v>
      </c>
    </row>
    <row r="70" spans="2:38" ht="14.25" outlineLevel="2">
      <c r="B70" s="65" t="s">
        <v>220</v>
      </c>
      <c r="C70" s="74" t="s">
        <v>221</v>
      </c>
      <c r="D70" s="67" t="s">
        <v>222</v>
      </c>
      <c r="E70" s="68">
        <f>0</f>
        <v>0</v>
      </c>
      <c r="F70" s="69">
        <f>0</f>
        <v>0</v>
      </c>
      <c r="G70" s="69">
        <f>1172835</f>
        <v>1172835</v>
      </c>
      <c r="H70" s="70">
        <f>0</f>
        <v>0</v>
      </c>
      <c r="I70" s="71">
        <f>3332075</f>
        <v>3332075</v>
      </c>
      <c r="J70" s="72">
        <f>1125187</f>
        <v>1125187</v>
      </c>
      <c r="K70" s="72">
        <f>1030481</f>
        <v>1030481</v>
      </c>
      <c r="L70" s="72">
        <f>1557020</f>
        <v>1557020</v>
      </c>
      <c r="M70" s="72">
        <f>1390000</f>
        <v>1390000</v>
      </c>
      <c r="N70" s="72">
        <f>1690000</f>
        <v>1690000</v>
      </c>
      <c r="O70" s="72">
        <f>1640000</f>
        <v>1640000</v>
      </c>
      <c r="P70" s="72">
        <f>1440000</f>
        <v>1440000</v>
      </c>
      <c r="Q70" s="72">
        <f>1540000</f>
        <v>1540000</v>
      </c>
      <c r="R70" s="72">
        <f>0</f>
        <v>0</v>
      </c>
      <c r="S70" s="72">
        <f>0</f>
        <v>0</v>
      </c>
      <c r="T70" s="72">
        <f>0</f>
        <v>0</v>
      </c>
      <c r="U70" s="72">
        <f>0</f>
        <v>0</v>
      </c>
      <c r="V70" s="72">
        <f>0</f>
        <v>0</v>
      </c>
      <c r="W70" s="72">
        <f>0</f>
        <v>0</v>
      </c>
      <c r="X70" s="72">
        <f>0</f>
        <v>0</v>
      </c>
      <c r="Y70" s="72">
        <f>0</f>
        <v>0</v>
      </c>
      <c r="Z70" s="72">
        <f>0</f>
        <v>0</v>
      </c>
      <c r="AA70" s="72">
        <f>0</f>
        <v>0</v>
      </c>
      <c r="AB70" s="72">
        <f>0</f>
        <v>0</v>
      </c>
      <c r="AC70" s="72">
        <f>0</f>
        <v>0</v>
      </c>
      <c r="AD70" s="72">
        <f>0</f>
        <v>0</v>
      </c>
      <c r="AE70" s="72">
        <f>0</f>
        <v>0</v>
      </c>
      <c r="AF70" s="72">
        <f>0</f>
        <v>0</v>
      </c>
      <c r="AG70" s="72">
        <f>0</f>
        <v>0</v>
      </c>
      <c r="AH70" s="72">
        <f>0</f>
        <v>0</v>
      </c>
      <c r="AI70" s="72">
        <f>0</f>
        <v>0</v>
      </c>
      <c r="AJ70" s="72">
        <f>0</f>
        <v>0</v>
      </c>
      <c r="AK70" s="72">
        <f>0</f>
        <v>0</v>
      </c>
      <c r="AL70" s="73">
        <f>0</f>
        <v>0</v>
      </c>
    </row>
    <row r="71" spans="2:38" ht="14.25" outlineLevel="2">
      <c r="B71" s="65" t="s">
        <v>223</v>
      </c>
      <c r="C71" s="74" t="s">
        <v>224</v>
      </c>
      <c r="D71" s="67" t="s">
        <v>225</v>
      </c>
      <c r="E71" s="68">
        <f>0</f>
        <v>0</v>
      </c>
      <c r="F71" s="69">
        <f>0</f>
        <v>0</v>
      </c>
      <c r="G71" s="69">
        <f>713134</f>
        <v>713134</v>
      </c>
      <c r="H71" s="70">
        <f>0</f>
        <v>0</v>
      </c>
      <c r="I71" s="71">
        <f>0</f>
        <v>0</v>
      </c>
      <c r="J71" s="72">
        <f>0</f>
        <v>0</v>
      </c>
      <c r="K71" s="72">
        <f>190000</f>
        <v>190000</v>
      </c>
      <c r="L71" s="72">
        <f>0</f>
        <v>0</v>
      </c>
      <c r="M71" s="72">
        <f>0</f>
        <v>0</v>
      </c>
      <c r="N71" s="72">
        <f>0</f>
        <v>0</v>
      </c>
      <c r="O71" s="72">
        <f>0</f>
        <v>0</v>
      </c>
      <c r="P71" s="72">
        <f>0</f>
        <v>0</v>
      </c>
      <c r="Q71" s="72">
        <f>0</f>
        <v>0</v>
      </c>
      <c r="R71" s="72">
        <f>0</f>
        <v>0</v>
      </c>
      <c r="S71" s="72">
        <f>0</f>
        <v>0</v>
      </c>
      <c r="T71" s="72">
        <f>0</f>
        <v>0</v>
      </c>
      <c r="U71" s="72">
        <f>0</f>
        <v>0</v>
      </c>
      <c r="V71" s="72">
        <f>0</f>
        <v>0</v>
      </c>
      <c r="W71" s="72">
        <f>0</f>
        <v>0</v>
      </c>
      <c r="X71" s="72">
        <f>0</f>
        <v>0</v>
      </c>
      <c r="Y71" s="72">
        <f>0</f>
        <v>0</v>
      </c>
      <c r="Z71" s="72">
        <f>0</f>
        <v>0</v>
      </c>
      <c r="AA71" s="72">
        <f>0</f>
        <v>0</v>
      </c>
      <c r="AB71" s="72">
        <f>0</f>
        <v>0</v>
      </c>
      <c r="AC71" s="72">
        <f>0</f>
        <v>0</v>
      </c>
      <c r="AD71" s="72">
        <f>0</f>
        <v>0</v>
      </c>
      <c r="AE71" s="72">
        <f>0</f>
        <v>0</v>
      </c>
      <c r="AF71" s="72">
        <f>0</f>
        <v>0</v>
      </c>
      <c r="AG71" s="72">
        <f>0</f>
        <v>0</v>
      </c>
      <c r="AH71" s="72">
        <f>0</f>
        <v>0</v>
      </c>
      <c r="AI71" s="72">
        <f>0</f>
        <v>0</v>
      </c>
      <c r="AJ71" s="72">
        <f>0</f>
        <v>0</v>
      </c>
      <c r="AK71" s="72">
        <f>0</f>
        <v>0</v>
      </c>
      <c r="AL71" s="73">
        <f>0</f>
        <v>0</v>
      </c>
    </row>
    <row r="72" spans="2:38" ht="14.25" outlineLevel="2">
      <c r="B72" s="65" t="s">
        <v>226</v>
      </c>
      <c r="C72" s="74" t="s">
        <v>227</v>
      </c>
      <c r="D72" s="67" t="s">
        <v>228</v>
      </c>
      <c r="E72" s="68">
        <f>0</f>
        <v>0</v>
      </c>
      <c r="F72" s="69">
        <f>50000</f>
        <v>50000</v>
      </c>
      <c r="G72" s="69">
        <f>15000</f>
        <v>15000</v>
      </c>
      <c r="H72" s="70">
        <f>13284</f>
        <v>13284</v>
      </c>
      <c r="I72" s="71">
        <f>0</f>
        <v>0</v>
      </c>
      <c r="J72" s="72">
        <f>0</f>
        <v>0</v>
      </c>
      <c r="K72" s="72">
        <f>0</f>
        <v>0</v>
      </c>
      <c r="L72" s="72">
        <f>0</f>
        <v>0</v>
      </c>
      <c r="M72" s="72">
        <f>0</f>
        <v>0</v>
      </c>
      <c r="N72" s="72">
        <f>0</f>
        <v>0</v>
      </c>
      <c r="O72" s="72">
        <f>0</f>
        <v>0</v>
      </c>
      <c r="P72" s="72">
        <f>0</f>
        <v>0</v>
      </c>
      <c r="Q72" s="72">
        <f>0</f>
        <v>0</v>
      </c>
      <c r="R72" s="72">
        <f>0</f>
        <v>0</v>
      </c>
      <c r="S72" s="72">
        <f>0</f>
        <v>0</v>
      </c>
      <c r="T72" s="72">
        <f>0</f>
        <v>0</v>
      </c>
      <c r="U72" s="72">
        <f>0</f>
        <v>0</v>
      </c>
      <c r="V72" s="72">
        <f>0</f>
        <v>0</v>
      </c>
      <c r="W72" s="72">
        <f>0</f>
        <v>0</v>
      </c>
      <c r="X72" s="72">
        <f>0</f>
        <v>0</v>
      </c>
      <c r="Y72" s="72">
        <f>0</f>
        <v>0</v>
      </c>
      <c r="Z72" s="72">
        <f>0</f>
        <v>0</v>
      </c>
      <c r="AA72" s="72">
        <f>0</f>
        <v>0</v>
      </c>
      <c r="AB72" s="72">
        <f>0</f>
        <v>0</v>
      </c>
      <c r="AC72" s="72">
        <f>0</f>
        <v>0</v>
      </c>
      <c r="AD72" s="72">
        <f>0</f>
        <v>0</v>
      </c>
      <c r="AE72" s="72">
        <f>0</f>
        <v>0</v>
      </c>
      <c r="AF72" s="72">
        <f>0</f>
        <v>0</v>
      </c>
      <c r="AG72" s="72">
        <f>0</f>
        <v>0</v>
      </c>
      <c r="AH72" s="72">
        <f>0</f>
        <v>0</v>
      </c>
      <c r="AI72" s="72">
        <f>0</f>
        <v>0</v>
      </c>
      <c r="AJ72" s="72">
        <f>0</f>
        <v>0</v>
      </c>
      <c r="AK72" s="72">
        <f>0</f>
        <v>0</v>
      </c>
      <c r="AL72" s="73">
        <f>0</f>
        <v>0</v>
      </c>
    </row>
    <row r="73" spans="2:39" ht="24" outlineLevel="1">
      <c r="B73" s="55">
        <v>12</v>
      </c>
      <c r="C73" s="56" t="s">
        <v>229</v>
      </c>
      <c r="D73" s="57" t="s">
        <v>229</v>
      </c>
      <c r="E73" s="78" t="s">
        <v>71</v>
      </c>
      <c r="F73" s="79" t="s">
        <v>71</v>
      </c>
      <c r="G73" s="79" t="s">
        <v>71</v>
      </c>
      <c r="H73" s="80" t="s">
        <v>71</v>
      </c>
      <c r="I73" s="81" t="s">
        <v>71</v>
      </c>
      <c r="J73" s="82" t="s">
        <v>71</v>
      </c>
      <c r="K73" s="82" t="s">
        <v>71</v>
      </c>
      <c r="L73" s="82" t="s">
        <v>71</v>
      </c>
      <c r="M73" s="82" t="s">
        <v>71</v>
      </c>
      <c r="N73" s="82" t="s">
        <v>71</v>
      </c>
      <c r="O73" s="82" t="s">
        <v>71</v>
      </c>
      <c r="P73" s="82" t="s">
        <v>71</v>
      </c>
      <c r="Q73" s="82" t="s">
        <v>71</v>
      </c>
      <c r="R73" s="82" t="s">
        <v>71</v>
      </c>
      <c r="S73" s="82" t="s">
        <v>71</v>
      </c>
      <c r="T73" s="82" t="s">
        <v>71</v>
      </c>
      <c r="U73" s="82" t="s">
        <v>71</v>
      </c>
      <c r="V73" s="82" t="s">
        <v>71</v>
      </c>
      <c r="W73" s="82" t="s">
        <v>71</v>
      </c>
      <c r="X73" s="82" t="s">
        <v>71</v>
      </c>
      <c r="Y73" s="82" t="s">
        <v>71</v>
      </c>
      <c r="Z73" s="82" t="s">
        <v>71</v>
      </c>
      <c r="AA73" s="82" t="s">
        <v>71</v>
      </c>
      <c r="AB73" s="82" t="s">
        <v>71</v>
      </c>
      <c r="AC73" s="82" t="s">
        <v>71</v>
      </c>
      <c r="AD73" s="82" t="s">
        <v>71</v>
      </c>
      <c r="AE73" s="82" t="s">
        <v>71</v>
      </c>
      <c r="AF73" s="82" t="s">
        <v>71</v>
      </c>
      <c r="AG73" s="82" t="s">
        <v>71</v>
      </c>
      <c r="AH73" s="82" t="s">
        <v>71</v>
      </c>
      <c r="AI73" s="82" t="s">
        <v>71</v>
      </c>
      <c r="AJ73" s="82" t="s">
        <v>71</v>
      </c>
      <c r="AK73" s="82" t="s">
        <v>71</v>
      </c>
      <c r="AL73" s="83" t="s">
        <v>71</v>
      </c>
      <c r="AM73" s="64"/>
    </row>
    <row r="74" spans="2:38" ht="24" outlineLevel="2">
      <c r="B74" s="65" t="s">
        <v>230</v>
      </c>
      <c r="C74" s="74" t="s">
        <v>231</v>
      </c>
      <c r="D74" s="67" t="s">
        <v>232</v>
      </c>
      <c r="E74" s="68">
        <f>518036.87</f>
        <v>518036.87</v>
      </c>
      <c r="F74" s="69">
        <f>667765.52</f>
        <v>667765.52</v>
      </c>
      <c r="G74" s="69">
        <f>884577.46</f>
        <v>884577.46</v>
      </c>
      <c r="H74" s="70">
        <f>0</f>
        <v>0</v>
      </c>
      <c r="I74" s="71">
        <f>242500</f>
        <v>242500</v>
      </c>
      <c r="J74" s="72">
        <f>0</f>
        <v>0</v>
      </c>
      <c r="K74" s="72">
        <f>0</f>
        <v>0</v>
      </c>
      <c r="L74" s="72">
        <f>0</f>
        <v>0</v>
      </c>
      <c r="M74" s="72">
        <f>0</f>
        <v>0</v>
      </c>
      <c r="N74" s="72">
        <f>0</f>
        <v>0</v>
      </c>
      <c r="O74" s="72">
        <f>0</f>
        <v>0</v>
      </c>
      <c r="P74" s="72">
        <f>0</f>
        <v>0</v>
      </c>
      <c r="Q74" s="72">
        <f>0</f>
        <v>0</v>
      </c>
      <c r="R74" s="72">
        <f>0</f>
        <v>0</v>
      </c>
      <c r="S74" s="72">
        <f>0</f>
        <v>0</v>
      </c>
      <c r="T74" s="72">
        <f>0</f>
        <v>0</v>
      </c>
      <c r="U74" s="72">
        <f>0</f>
        <v>0</v>
      </c>
      <c r="V74" s="72">
        <f>0</f>
        <v>0</v>
      </c>
      <c r="W74" s="72">
        <f>0</f>
        <v>0</v>
      </c>
      <c r="X74" s="72">
        <f>0</f>
        <v>0</v>
      </c>
      <c r="Y74" s="72">
        <f>0</f>
        <v>0</v>
      </c>
      <c r="Z74" s="72">
        <f>0</f>
        <v>0</v>
      </c>
      <c r="AA74" s="72">
        <f>0</f>
        <v>0</v>
      </c>
      <c r="AB74" s="72">
        <f>0</f>
        <v>0</v>
      </c>
      <c r="AC74" s="72">
        <f>0</f>
        <v>0</v>
      </c>
      <c r="AD74" s="72">
        <f>0</f>
        <v>0</v>
      </c>
      <c r="AE74" s="72">
        <f>0</f>
        <v>0</v>
      </c>
      <c r="AF74" s="72">
        <f>0</f>
        <v>0</v>
      </c>
      <c r="AG74" s="72">
        <f>0</f>
        <v>0</v>
      </c>
      <c r="AH74" s="72">
        <f>0</f>
        <v>0</v>
      </c>
      <c r="AI74" s="72">
        <f>0</f>
        <v>0</v>
      </c>
      <c r="AJ74" s="72">
        <f>0</f>
        <v>0</v>
      </c>
      <c r="AK74" s="72">
        <f>0</f>
        <v>0</v>
      </c>
      <c r="AL74" s="73">
        <f>0</f>
        <v>0</v>
      </c>
    </row>
    <row r="75" spans="2:38" ht="14.25" outlineLevel="3">
      <c r="B75" s="65" t="s">
        <v>233</v>
      </c>
      <c r="C75" s="74" t="s">
        <v>234</v>
      </c>
      <c r="D75" s="95" t="s">
        <v>235</v>
      </c>
      <c r="E75" s="68">
        <f>518036.87</f>
        <v>518036.87</v>
      </c>
      <c r="F75" s="69">
        <f>595918.33</f>
        <v>595918.33</v>
      </c>
      <c r="G75" s="69">
        <f>782038.36</f>
        <v>782038.36</v>
      </c>
      <c r="H75" s="70">
        <f>0</f>
        <v>0</v>
      </c>
      <c r="I75" s="71">
        <f>215000</f>
        <v>215000</v>
      </c>
      <c r="J75" s="72">
        <f>0</f>
        <v>0</v>
      </c>
      <c r="K75" s="72">
        <f>0</f>
        <v>0</v>
      </c>
      <c r="L75" s="72">
        <f>0</f>
        <v>0</v>
      </c>
      <c r="M75" s="72">
        <f>0</f>
        <v>0</v>
      </c>
      <c r="N75" s="72">
        <f>0</f>
        <v>0</v>
      </c>
      <c r="O75" s="72">
        <f>0</f>
        <v>0</v>
      </c>
      <c r="P75" s="72">
        <f>0</f>
        <v>0</v>
      </c>
      <c r="Q75" s="72">
        <f>0</f>
        <v>0</v>
      </c>
      <c r="R75" s="72">
        <f>0</f>
        <v>0</v>
      </c>
      <c r="S75" s="72">
        <f>0</f>
        <v>0</v>
      </c>
      <c r="T75" s="72">
        <f>0</f>
        <v>0</v>
      </c>
      <c r="U75" s="72">
        <f>0</f>
        <v>0</v>
      </c>
      <c r="V75" s="72">
        <f>0</f>
        <v>0</v>
      </c>
      <c r="W75" s="72">
        <f>0</f>
        <v>0</v>
      </c>
      <c r="X75" s="72">
        <f>0</f>
        <v>0</v>
      </c>
      <c r="Y75" s="72">
        <f>0</f>
        <v>0</v>
      </c>
      <c r="Z75" s="72">
        <f>0</f>
        <v>0</v>
      </c>
      <c r="AA75" s="72">
        <f>0</f>
        <v>0</v>
      </c>
      <c r="AB75" s="72">
        <f>0</f>
        <v>0</v>
      </c>
      <c r="AC75" s="72">
        <f>0</f>
        <v>0</v>
      </c>
      <c r="AD75" s="72">
        <f>0</f>
        <v>0</v>
      </c>
      <c r="AE75" s="72">
        <f>0</f>
        <v>0</v>
      </c>
      <c r="AF75" s="72">
        <f>0</f>
        <v>0</v>
      </c>
      <c r="AG75" s="72">
        <f>0</f>
        <v>0</v>
      </c>
      <c r="AH75" s="72">
        <f>0</f>
        <v>0</v>
      </c>
      <c r="AI75" s="72">
        <f>0</f>
        <v>0</v>
      </c>
      <c r="AJ75" s="72">
        <f>0</f>
        <v>0</v>
      </c>
      <c r="AK75" s="72">
        <f>0</f>
        <v>0</v>
      </c>
      <c r="AL75" s="73">
        <f>0</f>
        <v>0</v>
      </c>
    </row>
    <row r="76" spans="2:38" ht="24" outlineLevel="4">
      <c r="B76" s="65" t="s">
        <v>236</v>
      </c>
      <c r="C76" s="74" t="s">
        <v>237</v>
      </c>
      <c r="D76" s="96" t="s">
        <v>238</v>
      </c>
      <c r="E76" s="68">
        <f>0</f>
        <v>0</v>
      </c>
      <c r="F76" s="69">
        <f>595918.33</f>
        <v>595918.33</v>
      </c>
      <c r="G76" s="69">
        <f>782038.36</f>
        <v>782038.36</v>
      </c>
      <c r="H76" s="70">
        <f>0</f>
        <v>0</v>
      </c>
      <c r="I76" s="71">
        <f>215000</f>
        <v>215000</v>
      </c>
      <c r="J76" s="72">
        <f>0</f>
        <v>0</v>
      </c>
      <c r="K76" s="72">
        <f>0</f>
        <v>0</v>
      </c>
      <c r="L76" s="72">
        <f>0</f>
        <v>0</v>
      </c>
      <c r="M76" s="72">
        <f>0</f>
        <v>0</v>
      </c>
      <c r="N76" s="72">
        <f>0</f>
        <v>0</v>
      </c>
      <c r="O76" s="72">
        <f>0</f>
        <v>0</v>
      </c>
      <c r="P76" s="72">
        <f>0</f>
        <v>0</v>
      </c>
      <c r="Q76" s="72">
        <f>0</f>
        <v>0</v>
      </c>
      <c r="R76" s="72">
        <f>0</f>
        <v>0</v>
      </c>
      <c r="S76" s="72">
        <f>0</f>
        <v>0</v>
      </c>
      <c r="T76" s="72">
        <f>0</f>
        <v>0</v>
      </c>
      <c r="U76" s="72">
        <f>0</f>
        <v>0</v>
      </c>
      <c r="V76" s="72">
        <f>0</f>
        <v>0</v>
      </c>
      <c r="W76" s="72">
        <f>0</f>
        <v>0</v>
      </c>
      <c r="X76" s="72">
        <f>0</f>
        <v>0</v>
      </c>
      <c r="Y76" s="72">
        <f>0</f>
        <v>0</v>
      </c>
      <c r="Z76" s="72">
        <f>0</f>
        <v>0</v>
      </c>
      <c r="AA76" s="72">
        <f>0</f>
        <v>0</v>
      </c>
      <c r="AB76" s="72">
        <f>0</f>
        <v>0</v>
      </c>
      <c r="AC76" s="72">
        <f>0</f>
        <v>0</v>
      </c>
      <c r="AD76" s="72">
        <f>0</f>
        <v>0</v>
      </c>
      <c r="AE76" s="72">
        <f>0</f>
        <v>0</v>
      </c>
      <c r="AF76" s="72">
        <f>0</f>
        <v>0</v>
      </c>
      <c r="AG76" s="72">
        <f>0</f>
        <v>0</v>
      </c>
      <c r="AH76" s="72">
        <f>0</f>
        <v>0</v>
      </c>
      <c r="AI76" s="72">
        <f>0</f>
        <v>0</v>
      </c>
      <c r="AJ76" s="72">
        <f>0</f>
        <v>0</v>
      </c>
      <c r="AK76" s="72">
        <f>0</f>
        <v>0</v>
      </c>
      <c r="AL76" s="73">
        <f>0</f>
        <v>0</v>
      </c>
    </row>
    <row r="77" spans="2:38" ht="24" outlineLevel="2">
      <c r="B77" s="65" t="s">
        <v>239</v>
      </c>
      <c r="C77" s="74" t="s">
        <v>240</v>
      </c>
      <c r="D77" s="67" t="s">
        <v>241</v>
      </c>
      <c r="E77" s="68">
        <f>2345848.47</f>
        <v>2345848.47</v>
      </c>
      <c r="F77" s="69">
        <f>1341580.04</f>
        <v>1341580.04</v>
      </c>
      <c r="G77" s="69">
        <f>834288</f>
        <v>834288</v>
      </c>
      <c r="H77" s="70">
        <f>0</f>
        <v>0</v>
      </c>
      <c r="I77" s="71">
        <f>66715</f>
        <v>66715</v>
      </c>
      <c r="J77" s="72">
        <f>0</f>
        <v>0</v>
      </c>
      <c r="K77" s="72">
        <f>0</f>
        <v>0</v>
      </c>
      <c r="L77" s="72">
        <f>0</f>
        <v>0</v>
      </c>
      <c r="M77" s="72">
        <f>0</f>
        <v>0</v>
      </c>
      <c r="N77" s="72">
        <f>0</f>
        <v>0</v>
      </c>
      <c r="O77" s="72">
        <f>0</f>
        <v>0</v>
      </c>
      <c r="P77" s="72">
        <f>0</f>
        <v>0</v>
      </c>
      <c r="Q77" s="72">
        <f>0</f>
        <v>0</v>
      </c>
      <c r="R77" s="72">
        <f>0</f>
        <v>0</v>
      </c>
      <c r="S77" s="72">
        <f>0</f>
        <v>0</v>
      </c>
      <c r="T77" s="72">
        <f>0</f>
        <v>0</v>
      </c>
      <c r="U77" s="72">
        <f>0</f>
        <v>0</v>
      </c>
      <c r="V77" s="72">
        <f>0</f>
        <v>0</v>
      </c>
      <c r="W77" s="72">
        <f>0</f>
        <v>0</v>
      </c>
      <c r="X77" s="72">
        <f>0</f>
        <v>0</v>
      </c>
      <c r="Y77" s="72">
        <f>0</f>
        <v>0</v>
      </c>
      <c r="Z77" s="72">
        <f>0</f>
        <v>0</v>
      </c>
      <c r="AA77" s="72">
        <f>0</f>
        <v>0</v>
      </c>
      <c r="AB77" s="72">
        <f>0</f>
        <v>0</v>
      </c>
      <c r="AC77" s="72">
        <f>0</f>
        <v>0</v>
      </c>
      <c r="AD77" s="72">
        <f>0</f>
        <v>0</v>
      </c>
      <c r="AE77" s="72">
        <f>0</f>
        <v>0</v>
      </c>
      <c r="AF77" s="72">
        <f>0</f>
        <v>0</v>
      </c>
      <c r="AG77" s="72">
        <f>0</f>
        <v>0</v>
      </c>
      <c r="AH77" s="72">
        <f>0</f>
        <v>0</v>
      </c>
      <c r="AI77" s="72">
        <f>0</f>
        <v>0</v>
      </c>
      <c r="AJ77" s="72">
        <f>0</f>
        <v>0</v>
      </c>
      <c r="AK77" s="72">
        <f>0</f>
        <v>0</v>
      </c>
      <c r="AL77" s="73">
        <f>0</f>
        <v>0</v>
      </c>
    </row>
    <row r="78" spans="2:38" ht="14.25" outlineLevel="3">
      <c r="B78" s="65" t="s">
        <v>242</v>
      </c>
      <c r="C78" s="74" t="s">
        <v>243</v>
      </c>
      <c r="D78" s="95" t="s">
        <v>235</v>
      </c>
      <c r="E78" s="68">
        <f>2345848.47</f>
        <v>2345848.47</v>
      </c>
      <c r="F78" s="69">
        <f>1311948.96</f>
        <v>1311948.96</v>
      </c>
      <c r="G78" s="69">
        <f>834288</f>
        <v>834288</v>
      </c>
      <c r="H78" s="70">
        <f>0</f>
        <v>0</v>
      </c>
      <c r="I78" s="71">
        <f>66715</f>
        <v>66715</v>
      </c>
      <c r="J78" s="72">
        <f>0</f>
        <v>0</v>
      </c>
      <c r="K78" s="72">
        <f>0</f>
        <v>0</v>
      </c>
      <c r="L78" s="72">
        <f>0</f>
        <v>0</v>
      </c>
      <c r="M78" s="72">
        <f>0</f>
        <v>0</v>
      </c>
      <c r="N78" s="72">
        <f>0</f>
        <v>0</v>
      </c>
      <c r="O78" s="72">
        <f>0</f>
        <v>0</v>
      </c>
      <c r="P78" s="72">
        <f>0</f>
        <v>0</v>
      </c>
      <c r="Q78" s="72">
        <f>0</f>
        <v>0</v>
      </c>
      <c r="R78" s="72">
        <f>0</f>
        <v>0</v>
      </c>
      <c r="S78" s="72">
        <f>0</f>
        <v>0</v>
      </c>
      <c r="T78" s="72">
        <f>0</f>
        <v>0</v>
      </c>
      <c r="U78" s="72">
        <f>0</f>
        <v>0</v>
      </c>
      <c r="V78" s="72">
        <f>0</f>
        <v>0</v>
      </c>
      <c r="W78" s="72">
        <f>0</f>
        <v>0</v>
      </c>
      <c r="X78" s="72">
        <f>0</f>
        <v>0</v>
      </c>
      <c r="Y78" s="72">
        <f>0</f>
        <v>0</v>
      </c>
      <c r="Z78" s="72">
        <f>0</f>
        <v>0</v>
      </c>
      <c r="AA78" s="72">
        <f>0</f>
        <v>0</v>
      </c>
      <c r="AB78" s="72">
        <f>0</f>
        <v>0</v>
      </c>
      <c r="AC78" s="72">
        <f>0</f>
        <v>0</v>
      </c>
      <c r="AD78" s="72">
        <f>0</f>
        <v>0</v>
      </c>
      <c r="AE78" s="72">
        <f>0</f>
        <v>0</v>
      </c>
      <c r="AF78" s="72">
        <f>0</f>
        <v>0</v>
      </c>
      <c r="AG78" s="72">
        <f>0</f>
        <v>0</v>
      </c>
      <c r="AH78" s="72">
        <f>0</f>
        <v>0</v>
      </c>
      <c r="AI78" s="72">
        <f>0</f>
        <v>0</v>
      </c>
      <c r="AJ78" s="72">
        <f>0</f>
        <v>0</v>
      </c>
      <c r="AK78" s="72">
        <f>0</f>
        <v>0</v>
      </c>
      <c r="AL78" s="73">
        <f>0</f>
        <v>0</v>
      </c>
    </row>
    <row r="79" spans="2:38" ht="24" outlineLevel="4">
      <c r="B79" s="65" t="s">
        <v>244</v>
      </c>
      <c r="C79" s="74" t="s">
        <v>245</v>
      </c>
      <c r="D79" s="96" t="s">
        <v>246</v>
      </c>
      <c r="E79" s="68">
        <f>0</f>
        <v>0</v>
      </c>
      <c r="F79" s="69">
        <f>1311948.96</f>
        <v>1311948.96</v>
      </c>
      <c r="G79" s="69">
        <f>834288</f>
        <v>834288</v>
      </c>
      <c r="H79" s="70">
        <f>0</f>
        <v>0</v>
      </c>
      <c r="I79" s="71">
        <f>0</f>
        <v>0</v>
      </c>
      <c r="J79" s="72">
        <f>0</f>
        <v>0</v>
      </c>
      <c r="K79" s="72">
        <f>0</f>
        <v>0</v>
      </c>
      <c r="L79" s="72">
        <f>0</f>
        <v>0</v>
      </c>
      <c r="M79" s="72">
        <f>0</f>
        <v>0</v>
      </c>
      <c r="N79" s="72">
        <f>0</f>
        <v>0</v>
      </c>
      <c r="O79" s="72">
        <f>0</f>
        <v>0</v>
      </c>
      <c r="P79" s="72">
        <f>0</f>
        <v>0</v>
      </c>
      <c r="Q79" s="72">
        <f>0</f>
        <v>0</v>
      </c>
      <c r="R79" s="72">
        <f>0</f>
        <v>0</v>
      </c>
      <c r="S79" s="72">
        <f>0</f>
        <v>0</v>
      </c>
      <c r="T79" s="72">
        <f>0</f>
        <v>0</v>
      </c>
      <c r="U79" s="72">
        <f>0</f>
        <v>0</v>
      </c>
      <c r="V79" s="72">
        <f>0</f>
        <v>0</v>
      </c>
      <c r="W79" s="72">
        <f>0</f>
        <v>0</v>
      </c>
      <c r="X79" s="72">
        <f>0</f>
        <v>0</v>
      </c>
      <c r="Y79" s="72">
        <f>0</f>
        <v>0</v>
      </c>
      <c r="Z79" s="72">
        <f>0</f>
        <v>0</v>
      </c>
      <c r="AA79" s="72">
        <f>0</f>
        <v>0</v>
      </c>
      <c r="AB79" s="72">
        <f>0</f>
        <v>0</v>
      </c>
      <c r="AC79" s="72">
        <f>0</f>
        <v>0</v>
      </c>
      <c r="AD79" s="72">
        <f>0</f>
        <v>0</v>
      </c>
      <c r="AE79" s="72">
        <f>0</f>
        <v>0</v>
      </c>
      <c r="AF79" s="72">
        <f>0</f>
        <v>0</v>
      </c>
      <c r="AG79" s="72">
        <f>0</f>
        <v>0</v>
      </c>
      <c r="AH79" s="72">
        <f>0</f>
        <v>0</v>
      </c>
      <c r="AI79" s="72">
        <f>0</f>
        <v>0</v>
      </c>
      <c r="AJ79" s="72">
        <f>0</f>
        <v>0</v>
      </c>
      <c r="AK79" s="72">
        <f>0</f>
        <v>0</v>
      </c>
      <c r="AL79" s="73">
        <f>0</f>
        <v>0</v>
      </c>
    </row>
    <row r="80" spans="2:38" ht="24" outlineLevel="2">
      <c r="B80" s="65" t="s">
        <v>247</v>
      </c>
      <c r="C80" s="74" t="s">
        <v>248</v>
      </c>
      <c r="D80" s="67" t="s">
        <v>249</v>
      </c>
      <c r="E80" s="68">
        <f>771596.52</f>
        <v>771596.52</v>
      </c>
      <c r="F80" s="69">
        <f>629605.21</f>
        <v>629605.21</v>
      </c>
      <c r="G80" s="69">
        <f>949706.04</f>
        <v>949706.04</v>
      </c>
      <c r="H80" s="70">
        <f>0</f>
        <v>0</v>
      </c>
      <c r="I80" s="71">
        <f>250000</f>
        <v>250000</v>
      </c>
      <c r="J80" s="72">
        <f>0</f>
        <v>0</v>
      </c>
      <c r="K80" s="72">
        <f>0</f>
        <v>0</v>
      </c>
      <c r="L80" s="72">
        <f>0</f>
        <v>0</v>
      </c>
      <c r="M80" s="72">
        <f>0</f>
        <v>0</v>
      </c>
      <c r="N80" s="72">
        <f>0</f>
        <v>0</v>
      </c>
      <c r="O80" s="72">
        <f>0</f>
        <v>0</v>
      </c>
      <c r="P80" s="72">
        <f>0</f>
        <v>0</v>
      </c>
      <c r="Q80" s="72">
        <f>0</f>
        <v>0</v>
      </c>
      <c r="R80" s="72">
        <f>0</f>
        <v>0</v>
      </c>
      <c r="S80" s="72">
        <f>0</f>
        <v>0</v>
      </c>
      <c r="T80" s="72">
        <f>0</f>
        <v>0</v>
      </c>
      <c r="U80" s="72">
        <f>0</f>
        <v>0</v>
      </c>
      <c r="V80" s="72">
        <f>0</f>
        <v>0</v>
      </c>
      <c r="W80" s="72">
        <f>0</f>
        <v>0</v>
      </c>
      <c r="X80" s="72">
        <f>0</f>
        <v>0</v>
      </c>
      <c r="Y80" s="72">
        <f>0</f>
        <v>0</v>
      </c>
      <c r="Z80" s="72">
        <f>0</f>
        <v>0</v>
      </c>
      <c r="AA80" s="72">
        <f>0</f>
        <v>0</v>
      </c>
      <c r="AB80" s="72">
        <f>0</f>
        <v>0</v>
      </c>
      <c r="AC80" s="72">
        <f>0</f>
        <v>0</v>
      </c>
      <c r="AD80" s="72">
        <f>0</f>
        <v>0</v>
      </c>
      <c r="AE80" s="72">
        <f>0</f>
        <v>0</v>
      </c>
      <c r="AF80" s="72">
        <f>0</f>
        <v>0</v>
      </c>
      <c r="AG80" s="72">
        <f>0</f>
        <v>0</v>
      </c>
      <c r="AH80" s="72">
        <f>0</f>
        <v>0</v>
      </c>
      <c r="AI80" s="72">
        <f>0</f>
        <v>0</v>
      </c>
      <c r="AJ80" s="72">
        <f>0</f>
        <v>0</v>
      </c>
      <c r="AK80" s="72">
        <f>0</f>
        <v>0</v>
      </c>
      <c r="AL80" s="73">
        <f>0</f>
        <v>0</v>
      </c>
    </row>
    <row r="81" spans="2:38" ht="14.25" outlineLevel="3">
      <c r="B81" s="65" t="s">
        <v>250</v>
      </c>
      <c r="C81" s="74" t="s">
        <v>251</v>
      </c>
      <c r="D81" s="95" t="s">
        <v>252</v>
      </c>
      <c r="E81" s="68">
        <f>518036.87</f>
        <v>518036.87</v>
      </c>
      <c r="F81" s="69">
        <f>535009.94</f>
        <v>535009.94</v>
      </c>
      <c r="G81" s="69">
        <f>795972.23</f>
        <v>795972.23</v>
      </c>
      <c r="H81" s="70">
        <f>0</f>
        <v>0</v>
      </c>
      <c r="I81" s="71">
        <f>212500</f>
        <v>212500</v>
      </c>
      <c r="J81" s="72">
        <f>0</f>
        <v>0</v>
      </c>
      <c r="K81" s="72">
        <f>0</f>
        <v>0</v>
      </c>
      <c r="L81" s="72">
        <f>0</f>
        <v>0</v>
      </c>
      <c r="M81" s="72">
        <f>0</f>
        <v>0</v>
      </c>
      <c r="N81" s="72">
        <f>0</f>
        <v>0</v>
      </c>
      <c r="O81" s="72">
        <f>0</f>
        <v>0</v>
      </c>
      <c r="P81" s="72">
        <f>0</f>
        <v>0</v>
      </c>
      <c r="Q81" s="72">
        <f>0</f>
        <v>0</v>
      </c>
      <c r="R81" s="72">
        <f>0</f>
        <v>0</v>
      </c>
      <c r="S81" s="72">
        <f>0</f>
        <v>0</v>
      </c>
      <c r="T81" s="72">
        <f>0</f>
        <v>0</v>
      </c>
      <c r="U81" s="72">
        <f>0</f>
        <v>0</v>
      </c>
      <c r="V81" s="72">
        <f>0</f>
        <v>0</v>
      </c>
      <c r="W81" s="72">
        <f>0</f>
        <v>0</v>
      </c>
      <c r="X81" s="72">
        <f>0</f>
        <v>0</v>
      </c>
      <c r="Y81" s="72">
        <f>0</f>
        <v>0</v>
      </c>
      <c r="Z81" s="72">
        <f>0</f>
        <v>0</v>
      </c>
      <c r="AA81" s="72">
        <f>0</f>
        <v>0</v>
      </c>
      <c r="AB81" s="72">
        <f>0</f>
        <v>0</v>
      </c>
      <c r="AC81" s="72">
        <f>0</f>
        <v>0</v>
      </c>
      <c r="AD81" s="72">
        <f>0</f>
        <v>0</v>
      </c>
      <c r="AE81" s="72">
        <f>0</f>
        <v>0</v>
      </c>
      <c r="AF81" s="72">
        <f>0</f>
        <v>0</v>
      </c>
      <c r="AG81" s="72">
        <f>0</f>
        <v>0</v>
      </c>
      <c r="AH81" s="72">
        <f>0</f>
        <v>0</v>
      </c>
      <c r="AI81" s="72">
        <f>0</f>
        <v>0</v>
      </c>
      <c r="AJ81" s="72">
        <f>0</f>
        <v>0</v>
      </c>
      <c r="AK81" s="72">
        <f>0</f>
        <v>0</v>
      </c>
      <c r="AL81" s="73">
        <f>0</f>
        <v>0</v>
      </c>
    </row>
    <row r="82" spans="2:38" ht="36" customHeight="1" outlineLevel="3">
      <c r="B82" s="65" t="s">
        <v>253</v>
      </c>
      <c r="C82" s="74" t="s">
        <v>254</v>
      </c>
      <c r="D82" s="75" t="s">
        <v>255</v>
      </c>
      <c r="E82" s="68">
        <f>0</f>
        <v>0</v>
      </c>
      <c r="F82" s="69">
        <f>0</f>
        <v>0</v>
      </c>
      <c r="G82" s="69">
        <f>795972.23</f>
        <v>795972.23</v>
      </c>
      <c r="H82" s="70">
        <f>0</f>
        <v>0</v>
      </c>
      <c r="I82" s="71">
        <f>212500</f>
        <v>212500</v>
      </c>
      <c r="J82" s="72">
        <f>0</f>
        <v>0</v>
      </c>
      <c r="K82" s="72">
        <f>0</f>
        <v>0</v>
      </c>
      <c r="L82" s="72">
        <f>0</f>
        <v>0</v>
      </c>
      <c r="M82" s="72">
        <f>0</f>
        <v>0</v>
      </c>
      <c r="N82" s="72">
        <f>0</f>
        <v>0</v>
      </c>
      <c r="O82" s="72">
        <f>0</f>
        <v>0</v>
      </c>
      <c r="P82" s="72">
        <f>0</f>
        <v>0</v>
      </c>
      <c r="Q82" s="72">
        <f>0</f>
        <v>0</v>
      </c>
      <c r="R82" s="72">
        <f>0</f>
        <v>0</v>
      </c>
      <c r="S82" s="72">
        <f>0</f>
        <v>0</v>
      </c>
      <c r="T82" s="72">
        <f>0</f>
        <v>0</v>
      </c>
      <c r="U82" s="72">
        <f>0</f>
        <v>0</v>
      </c>
      <c r="V82" s="72">
        <f>0</f>
        <v>0</v>
      </c>
      <c r="W82" s="72">
        <f>0</f>
        <v>0</v>
      </c>
      <c r="X82" s="72">
        <f>0</f>
        <v>0</v>
      </c>
      <c r="Y82" s="72">
        <f>0</f>
        <v>0</v>
      </c>
      <c r="Z82" s="72">
        <f>0</f>
        <v>0</v>
      </c>
      <c r="AA82" s="72">
        <f>0</f>
        <v>0</v>
      </c>
      <c r="AB82" s="72">
        <f>0</f>
        <v>0</v>
      </c>
      <c r="AC82" s="72">
        <f>0</f>
        <v>0</v>
      </c>
      <c r="AD82" s="72">
        <f>0</f>
        <v>0</v>
      </c>
      <c r="AE82" s="72">
        <f>0</f>
        <v>0</v>
      </c>
      <c r="AF82" s="72">
        <f>0</f>
        <v>0</v>
      </c>
      <c r="AG82" s="72">
        <f>0</f>
        <v>0</v>
      </c>
      <c r="AH82" s="72">
        <f>0</f>
        <v>0</v>
      </c>
      <c r="AI82" s="72">
        <f>0</f>
        <v>0</v>
      </c>
      <c r="AJ82" s="72">
        <f>0</f>
        <v>0</v>
      </c>
      <c r="AK82" s="72">
        <f>0</f>
        <v>0</v>
      </c>
      <c r="AL82" s="73">
        <f>0</f>
        <v>0</v>
      </c>
    </row>
    <row r="83" spans="2:38" ht="30" customHeight="1" outlineLevel="2">
      <c r="B83" s="65" t="s">
        <v>256</v>
      </c>
      <c r="C83" s="74" t="s">
        <v>257</v>
      </c>
      <c r="D83" s="67" t="s">
        <v>258</v>
      </c>
      <c r="E83" s="68">
        <f>6894736.61</f>
        <v>6894736.61</v>
      </c>
      <c r="F83" s="69">
        <f>1377404.19</f>
        <v>1377404.19</v>
      </c>
      <c r="G83" s="69">
        <f>807195.37</f>
        <v>807195.37</v>
      </c>
      <c r="H83" s="70">
        <f>0</f>
        <v>0</v>
      </c>
      <c r="I83" s="71">
        <f>937006</f>
        <v>937006</v>
      </c>
      <c r="J83" s="72">
        <f>0</f>
        <v>0</v>
      </c>
      <c r="K83" s="72">
        <f>0</f>
        <v>0</v>
      </c>
      <c r="L83" s="72">
        <f>0</f>
        <v>0</v>
      </c>
      <c r="M83" s="72">
        <f>0</f>
        <v>0</v>
      </c>
      <c r="N83" s="72">
        <f>0</f>
        <v>0</v>
      </c>
      <c r="O83" s="72">
        <f>0</f>
        <v>0</v>
      </c>
      <c r="P83" s="72">
        <f>0</f>
        <v>0</v>
      </c>
      <c r="Q83" s="72">
        <f>0</f>
        <v>0</v>
      </c>
      <c r="R83" s="72">
        <f>0</f>
        <v>0</v>
      </c>
      <c r="S83" s="72">
        <f>0</f>
        <v>0</v>
      </c>
      <c r="T83" s="72">
        <f>0</f>
        <v>0</v>
      </c>
      <c r="U83" s="72">
        <f>0</f>
        <v>0</v>
      </c>
      <c r="V83" s="72">
        <f>0</f>
        <v>0</v>
      </c>
      <c r="W83" s="72">
        <f>0</f>
        <v>0</v>
      </c>
      <c r="X83" s="72">
        <f>0</f>
        <v>0</v>
      </c>
      <c r="Y83" s="72">
        <f>0</f>
        <v>0</v>
      </c>
      <c r="Z83" s="72">
        <f>0</f>
        <v>0</v>
      </c>
      <c r="AA83" s="72">
        <f>0</f>
        <v>0</v>
      </c>
      <c r="AB83" s="72">
        <f>0</f>
        <v>0</v>
      </c>
      <c r="AC83" s="72">
        <f>0</f>
        <v>0</v>
      </c>
      <c r="AD83" s="72">
        <f>0</f>
        <v>0</v>
      </c>
      <c r="AE83" s="72">
        <f>0</f>
        <v>0</v>
      </c>
      <c r="AF83" s="72">
        <f>0</f>
        <v>0</v>
      </c>
      <c r="AG83" s="72">
        <f>0</f>
        <v>0</v>
      </c>
      <c r="AH83" s="72">
        <f>0</f>
        <v>0</v>
      </c>
      <c r="AI83" s="72">
        <f>0</f>
        <v>0</v>
      </c>
      <c r="AJ83" s="72">
        <f>0</f>
        <v>0</v>
      </c>
      <c r="AK83" s="72">
        <f>0</f>
        <v>0</v>
      </c>
      <c r="AL83" s="73">
        <f>0</f>
        <v>0</v>
      </c>
    </row>
    <row r="84" spans="2:38" ht="14.25" outlineLevel="3">
      <c r="B84" s="65" t="s">
        <v>259</v>
      </c>
      <c r="C84" s="74" t="s">
        <v>260</v>
      </c>
      <c r="D84" s="95" t="s">
        <v>261</v>
      </c>
      <c r="E84" s="68">
        <f>4448018.24</f>
        <v>4448018.24</v>
      </c>
      <c r="F84" s="69">
        <f>678937.66</f>
        <v>678937.66</v>
      </c>
      <c r="G84" s="69">
        <f>379709</f>
        <v>379709</v>
      </c>
      <c r="H84" s="70">
        <f>0</f>
        <v>0</v>
      </c>
      <c r="I84" s="71">
        <f>702132</f>
        <v>702132</v>
      </c>
      <c r="J84" s="72">
        <f>0</f>
        <v>0</v>
      </c>
      <c r="K84" s="72">
        <f>0</f>
        <v>0</v>
      </c>
      <c r="L84" s="72">
        <f>0</f>
        <v>0</v>
      </c>
      <c r="M84" s="72">
        <f>0</f>
        <v>0</v>
      </c>
      <c r="N84" s="72">
        <f>0</f>
        <v>0</v>
      </c>
      <c r="O84" s="72">
        <f>0</f>
        <v>0</v>
      </c>
      <c r="P84" s="72">
        <f>0</f>
        <v>0</v>
      </c>
      <c r="Q84" s="72">
        <f>0</f>
        <v>0</v>
      </c>
      <c r="R84" s="72">
        <f>0</f>
        <v>0</v>
      </c>
      <c r="S84" s="72">
        <f>0</f>
        <v>0</v>
      </c>
      <c r="T84" s="72">
        <f>0</f>
        <v>0</v>
      </c>
      <c r="U84" s="72">
        <f>0</f>
        <v>0</v>
      </c>
      <c r="V84" s="72">
        <f>0</f>
        <v>0</v>
      </c>
      <c r="W84" s="72">
        <f>0</f>
        <v>0</v>
      </c>
      <c r="X84" s="72">
        <f>0</f>
        <v>0</v>
      </c>
      <c r="Y84" s="72">
        <f>0</f>
        <v>0</v>
      </c>
      <c r="Z84" s="72">
        <f>0</f>
        <v>0</v>
      </c>
      <c r="AA84" s="72">
        <f>0</f>
        <v>0</v>
      </c>
      <c r="AB84" s="72">
        <f>0</f>
        <v>0</v>
      </c>
      <c r="AC84" s="72">
        <f>0</f>
        <v>0</v>
      </c>
      <c r="AD84" s="72">
        <f>0</f>
        <v>0</v>
      </c>
      <c r="AE84" s="72">
        <f>0</f>
        <v>0</v>
      </c>
      <c r="AF84" s="72">
        <f>0</f>
        <v>0</v>
      </c>
      <c r="AG84" s="72">
        <f>0</f>
        <v>0</v>
      </c>
      <c r="AH84" s="72">
        <f>0</f>
        <v>0</v>
      </c>
      <c r="AI84" s="72">
        <f>0</f>
        <v>0</v>
      </c>
      <c r="AJ84" s="72">
        <f>0</f>
        <v>0</v>
      </c>
      <c r="AK84" s="72">
        <f>0</f>
        <v>0</v>
      </c>
      <c r="AL84" s="73">
        <f>0</f>
        <v>0</v>
      </c>
    </row>
    <row r="85" spans="2:38" ht="36.75" customHeight="1" outlineLevel="3">
      <c r="B85" s="65" t="s">
        <v>262</v>
      </c>
      <c r="C85" s="74" t="s">
        <v>263</v>
      </c>
      <c r="D85" s="75" t="s">
        <v>264</v>
      </c>
      <c r="E85" s="68">
        <f>0</f>
        <v>0</v>
      </c>
      <c r="F85" s="69">
        <f>0</f>
        <v>0</v>
      </c>
      <c r="G85" s="69">
        <f>0</f>
        <v>0</v>
      </c>
      <c r="H85" s="70">
        <f>0</f>
        <v>0</v>
      </c>
      <c r="I85" s="71">
        <f>702132</f>
        <v>702132</v>
      </c>
      <c r="J85" s="72">
        <f>0</f>
        <v>0</v>
      </c>
      <c r="K85" s="72">
        <f>0</f>
        <v>0</v>
      </c>
      <c r="L85" s="72">
        <f>0</f>
        <v>0</v>
      </c>
      <c r="M85" s="72">
        <f>0</f>
        <v>0</v>
      </c>
      <c r="N85" s="72">
        <f>0</f>
        <v>0</v>
      </c>
      <c r="O85" s="72">
        <f>0</f>
        <v>0</v>
      </c>
      <c r="P85" s="72">
        <f>0</f>
        <v>0</v>
      </c>
      <c r="Q85" s="72">
        <f>0</f>
        <v>0</v>
      </c>
      <c r="R85" s="72">
        <f>0</f>
        <v>0</v>
      </c>
      <c r="S85" s="72">
        <f>0</f>
        <v>0</v>
      </c>
      <c r="T85" s="72">
        <f>0</f>
        <v>0</v>
      </c>
      <c r="U85" s="72">
        <f>0</f>
        <v>0</v>
      </c>
      <c r="V85" s="72">
        <f>0</f>
        <v>0</v>
      </c>
      <c r="W85" s="72">
        <f>0</f>
        <v>0</v>
      </c>
      <c r="X85" s="72">
        <f>0</f>
        <v>0</v>
      </c>
      <c r="Y85" s="72">
        <f>0</f>
        <v>0</v>
      </c>
      <c r="Z85" s="72">
        <f>0</f>
        <v>0</v>
      </c>
      <c r="AA85" s="72">
        <f>0</f>
        <v>0</v>
      </c>
      <c r="AB85" s="72">
        <f>0</f>
        <v>0</v>
      </c>
      <c r="AC85" s="72">
        <f>0</f>
        <v>0</v>
      </c>
      <c r="AD85" s="72">
        <f>0</f>
        <v>0</v>
      </c>
      <c r="AE85" s="72">
        <f>0</f>
        <v>0</v>
      </c>
      <c r="AF85" s="72">
        <f>0</f>
        <v>0</v>
      </c>
      <c r="AG85" s="72">
        <f>0</f>
        <v>0</v>
      </c>
      <c r="AH85" s="72">
        <f>0</f>
        <v>0</v>
      </c>
      <c r="AI85" s="72">
        <f>0</f>
        <v>0</v>
      </c>
      <c r="AJ85" s="72">
        <f>0</f>
        <v>0</v>
      </c>
      <c r="AK85" s="72">
        <f>0</f>
        <v>0</v>
      </c>
      <c r="AL85" s="73">
        <f>0</f>
        <v>0</v>
      </c>
    </row>
    <row r="86" spans="2:38" ht="36" outlineLevel="2">
      <c r="B86" s="65" t="s">
        <v>265</v>
      </c>
      <c r="C86" s="74" t="s">
        <v>266</v>
      </c>
      <c r="D86" s="67" t="s">
        <v>267</v>
      </c>
      <c r="E86" s="68">
        <f>0</f>
        <v>0</v>
      </c>
      <c r="F86" s="69">
        <f>698466.53</f>
        <v>698466.53</v>
      </c>
      <c r="G86" s="69">
        <f>427486.37</f>
        <v>427486.37</v>
      </c>
      <c r="H86" s="70">
        <f>0</f>
        <v>0</v>
      </c>
      <c r="I86" s="71">
        <f>234874</f>
        <v>234874</v>
      </c>
      <c r="J86" s="72">
        <f>0</f>
        <v>0</v>
      </c>
      <c r="K86" s="72">
        <f>0</f>
        <v>0</v>
      </c>
      <c r="L86" s="72">
        <f>0</f>
        <v>0</v>
      </c>
      <c r="M86" s="72">
        <f>0</f>
        <v>0</v>
      </c>
      <c r="N86" s="72">
        <f>0</f>
        <v>0</v>
      </c>
      <c r="O86" s="72">
        <f>0</f>
        <v>0</v>
      </c>
      <c r="P86" s="72">
        <f>0</f>
        <v>0</v>
      </c>
      <c r="Q86" s="72">
        <f>0</f>
        <v>0</v>
      </c>
      <c r="R86" s="72">
        <f>0</f>
        <v>0</v>
      </c>
      <c r="S86" s="72">
        <f>0</f>
        <v>0</v>
      </c>
      <c r="T86" s="72">
        <f>0</f>
        <v>0</v>
      </c>
      <c r="U86" s="72">
        <f>0</f>
        <v>0</v>
      </c>
      <c r="V86" s="72">
        <f>0</f>
        <v>0</v>
      </c>
      <c r="W86" s="72">
        <f>0</f>
        <v>0</v>
      </c>
      <c r="X86" s="72">
        <f>0</f>
        <v>0</v>
      </c>
      <c r="Y86" s="72">
        <f>0</f>
        <v>0</v>
      </c>
      <c r="Z86" s="72">
        <f>0</f>
        <v>0</v>
      </c>
      <c r="AA86" s="72">
        <f>0</f>
        <v>0</v>
      </c>
      <c r="AB86" s="72">
        <f>0</f>
        <v>0</v>
      </c>
      <c r="AC86" s="72">
        <f>0</f>
        <v>0</v>
      </c>
      <c r="AD86" s="72">
        <f>0</f>
        <v>0</v>
      </c>
      <c r="AE86" s="72">
        <f>0</f>
        <v>0</v>
      </c>
      <c r="AF86" s="72">
        <f>0</f>
        <v>0</v>
      </c>
      <c r="AG86" s="72">
        <f>0</f>
        <v>0</v>
      </c>
      <c r="AH86" s="72">
        <f>0</f>
        <v>0</v>
      </c>
      <c r="AI86" s="72">
        <f>0</f>
        <v>0</v>
      </c>
      <c r="AJ86" s="72">
        <f>0</f>
        <v>0</v>
      </c>
      <c r="AK86" s="72">
        <f>0</f>
        <v>0</v>
      </c>
      <c r="AL86" s="73">
        <f>0</f>
        <v>0</v>
      </c>
    </row>
    <row r="87" spans="2:38" ht="16.5" customHeight="1" outlineLevel="3">
      <c r="B87" s="65" t="s">
        <v>268</v>
      </c>
      <c r="C87" s="74" t="s">
        <v>269</v>
      </c>
      <c r="D87" s="75" t="s">
        <v>270</v>
      </c>
      <c r="E87" s="68">
        <f>0</f>
        <v>0</v>
      </c>
      <c r="F87" s="69">
        <f>0</f>
        <v>0</v>
      </c>
      <c r="G87" s="69">
        <f>0</f>
        <v>0</v>
      </c>
      <c r="H87" s="70">
        <f>0</f>
        <v>0</v>
      </c>
      <c r="I87" s="71">
        <f>0</f>
        <v>0</v>
      </c>
      <c r="J87" s="72">
        <f>0</f>
        <v>0</v>
      </c>
      <c r="K87" s="72">
        <f>0</f>
        <v>0</v>
      </c>
      <c r="L87" s="72">
        <f>0</f>
        <v>0</v>
      </c>
      <c r="M87" s="72">
        <f>0</f>
        <v>0</v>
      </c>
      <c r="N87" s="72">
        <f>0</f>
        <v>0</v>
      </c>
      <c r="O87" s="72">
        <f>0</f>
        <v>0</v>
      </c>
      <c r="P87" s="72">
        <f>0</f>
        <v>0</v>
      </c>
      <c r="Q87" s="72">
        <f>0</f>
        <v>0</v>
      </c>
      <c r="R87" s="72">
        <f>0</f>
        <v>0</v>
      </c>
      <c r="S87" s="72">
        <f>0</f>
        <v>0</v>
      </c>
      <c r="T87" s="72">
        <f>0</f>
        <v>0</v>
      </c>
      <c r="U87" s="72">
        <f>0</f>
        <v>0</v>
      </c>
      <c r="V87" s="72">
        <f>0</f>
        <v>0</v>
      </c>
      <c r="W87" s="72">
        <f>0</f>
        <v>0</v>
      </c>
      <c r="X87" s="72">
        <f>0</f>
        <v>0</v>
      </c>
      <c r="Y87" s="72">
        <f>0</f>
        <v>0</v>
      </c>
      <c r="Z87" s="72">
        <f>0</f>
        <v>0</v>
      </c>
      <c r="AA87" s="72">
        <f>0</f>
        <v>0</v>
      </c>
      <c r="AB87" s="72">
        <f>0</f>
        <v>0</v>
      </c>
      <c r="AC87" s="72">
        <f>0</f>
        <v>0</v>
      </c>
      <c r="AD87" s="72">
        <f>0</f>
        <v>0</v>
      </c>
      <c r="AE87" s="72">
        <f>0</f>
        <v>0</v>
      </c>
      <c r="AF87" s="72">
        <f>0</f>
        <v>0</v>
      </c>
      <c r="AG87" s="72">
        <f>0</f>
        <v>0</v>
      </c>
      <c r="AH87" s="72">
        <f>0</f>
        <v>0</v>
      </c>
      <c r="AI87" s="72">
        <f>0</f>
        <v>0</v>
      </c>
      <c r="AJ87" s="72">
        <f>0</f>
        <v>0</v>
      </c>
      <c r="AK87" s="72">
        <f>0</f>
        <v>0</v>
      </c>
      <c r="AL87" s="73">
        <f>0</f>
        <v>0</v>
      </c>
    </row>
    <row r="88" spans="2:38" ht="36" outlineLevel="2">
      <c r="B88" s="65" t="s">
        <v>271</v>
      </c>
      <c r="C88" s="74" t="s">
        <v>272</v>
      </c>
      <c r="D88" s="67" t="s">
        <v>273</v>
      </c>
      <c r="E88" s="68">
        <f>0</f>
        <v>0</v>
      </c>
      <c r="F88" s="69">
        <f>0</f>
        <v>0</v>
      </c>
      <c r="G88" s="69">
        <f>0</f>
        <v>0</v>
      </c>
      <c r="H88" s="70">
        <f>0</f>
        <v>0</v>
      </c>
      <c r="I88" s="71">
        <f>0</f>
        <v>0</v>
      </c>
      <c r="J88" s="72">
        <f>0</f>
        <v>0</v>
      </c>
      <c r="K88" s="72">
        <f>0</f>
        <v>0</v>
      </c>
      <c r="L88" s="72">
        <f>0</f>
        <v>0</v>
      </c>
      <c r="M88" s="72">
        <f>0</f>
        <v>0</v>
      </c>
      <c r="N88" s="72">
        <f>0</f>
        <v>0</v>
      </c>
      <c r="O88" s="72">
        <f>0</f>
        <v>0</v>
      </c>
      <c r="P88" s="72">
        <f>0</f>
        <v>0</v>
      </c>
      <c r="Q88" s="72">
        <f>0</f>
        <v>0</v>
      </c>
      <c r="R88" s="72">
        <f>0</f>
        <v>0</v>
      </c>
      <c r="S88" s="72">
        <f>0</f>
        <v>0</v>
      </c>
      <c r="T88" s="72">
        <f>0</f>
        <v>0</v>
      </c>
      <c r="U88" s="72">
        <f>0</f>
        <v>0</v>
      </c>
      <c r="V88" s="72">
        <f>0</f>
        <v>0</v>
      </c>
      <c r="W88" s="72">
        <f>0</f>
        <v>0</v>
      </c>
      <c r="X88" s="72">
        <f>0</f>
        <v>0</v>
      </c>
      <c r="Y88" s="72">
        <f>0</f>
        <v>0</v>
      </c>
      <c r="Z88" s="72">
        <f>0</f>
        <v>0</v>
      </c>
      <c r="AA88" s="72">
        <f>0</f>
        <v>0</v>
      </c>
      <c r="AB88" s="72">
        <f>0</f>
        <v>0</v>
      </c>
      <c r="AC88" s="72">
        <f>0</f>
        <v>0</v>
      </c>
      <c r="AD88" s="72">
        <f>0</f>
        <v>0</v>
      </c>
      <c r="AE88" s="72">
        <f>0</f>
        <v>0</v>
      </c>
      <c r="AF88" s="72">
        <f>0</f>
        <v>0</v>
      </c>
      <c r="AG88" s="72">
        <f>0</f>
        <v>0</v>
      </c>
      <c r="AH88" s="72">
        <f>0</f>
        <v>0</v>
      </c>
      <c r="AI88" s="72">
        <f>0</f>
        <v>0</v>
      </c>
      <c r="AJ88" s="72">
        <f>0</f>
        <v>0</v>
      </c>
      <c r="AK88" s="72">
        <f>0</f>
        <v>0</v>
      </c>
      <c r="AL88" s="73">
        <f>0</f>
        <v>0</v>
      </c>
    </row>
    <row r="89" spans="2:38" ht="14.25" outlineLevel="3">
      <c r="B89" s="65" t="s">
        <v>274</v>
      </c>
      <c r="C89" s="74" t="s">
        <v>269</v>
      </c>
      <c r="D89" s="75" t="s">
        <v>270</v>
      </c>
      <c r="E89" s="68">
        <f>0</f>
        <v>0</v>
      </c>
      <c r="F89" s="69">
        <f>0</f>
        <v>0</v>
      </c>
      <c r="G89" s="69">
        <f>0</f>
        <v>0</v>
      </c>
      <c r="H89" s="70">
        <f>0</f>
        <v>0</v>
      </c>
      <c r="I89" s="71">
        <f>0</f>
        <v>0</v>
      </c>
      <c r="J89" s="72">
        <f>0</f>
        <v>0</v>
      </c>
      <c r="K89" s="72">
        <f>0</f>
        <v>0</v>
      </c>
      <c r="L89" s="72">
        <f>0</f>
        <v>0</v>
      </c>
      <c r="M89" s="72">
        <f>0</f>
        <v>0</v>
      </c>
      <c r="N89" s="72">
        <f>0</f>
        <v>0</v>
      </c>
      <c r="O89" s="72">
        <f>0</f>
        <v>0</v>
      </c>
      <c r="P89" s="72">
        <f>0</f>
        <v>0</v>
      </c>
      <c r="Q89" s="72">
        <f>0</f>
        <v>0</v>
      </c>
      <c r="R89" s="72">
        <f>0</f>
        <v>0</v>
      </c>
      <c r="S89" s="72">
        <f>0</f>
        <v>0</v>
      </c>
      <c r="T89" s="72">
        <f>0</f>
        <v>0</v>
      </c>
      <c r="U89" s="72">
        <f>0</f>
        <v>0</v>
      </c>
      <c r="V89" s="72">
        <f>0</f>
        <v>0</v>
      </c>
      <c r="W89" s="72">
        <f>0</f>
        <v>0</v>
      </c>
      <c r="X89" s="72">
        <f>0</f>
        <v>0</v>
      </c>
      <c r="Y89" s="72">
        <f>0</f>
        <v>0</v>
      </c>
      <c r="Z89" s="72">
        <f>0</f>
        <v>0</v>
      </c>
      <c r="AA89" s="72">
        <f>0</f>
        <v>0</v>
      </c>
      <c r="AB89" s="72">
        <f>0</f>
        <v>0</v>
      </c>
      <c r="AC89" s="72">
        <f>0</f>
        <v>0</v>
      </c>
      <c r="AD89" s="72">
        <f>0</f>
        <v>0</v>
      </c>
      <c r="AE89" s="72">
        <f>0</f>
        <v>0</v>
      </c>
      <c r="AF89" s="72">
        <f>0</f>
        <v>0</v>
      </c>
      <c r="AG89" s="72">
        <f>0</f>
        <v>0</v>
      </c>
      <c r="AH89" s="72">
        <f>0</f>
        <v>0</v>
      </c>
      <c r="AI89" s="72">
        <f>0</f>
        <v>0</v>
      </c>
      <c r="AJ89" s="72">
        <f>0</f>
        <v>0</v>
      </c>
      <c r="AK89" s="72">
        <f>0</f>
        <v>0</v>
      </c>
      <c r="AL89" s="73">
        <f>0</f>
        <v>0</v>
      </c>
    </row>
    <row r="90" spans="2:38" ht="45.75" customHeight="1" outlineLevel="2">
      <c r="B90" s="65" t="s">
        <v>275</v>
      </c>
      <c r="C90" s="74" t="s">
        <v>276</v>
      </c>
      <c r="D90" s="67" t="s">
        <v>277</v>
      </c>
      <c r="E90" s="68">
        <f>0</f>
        <v>0</v>
      </c>
      <c r="F90" s="69">
        <f>0</f>
        <v>0</v>
      </c>
      <c r="G90" s="69">
        <f>0</f>
        <v>0</v>
      </c>
      <c r="H90" s="70">
        <f>0</f>
        <v>0</v>
      </c>
      <c r="I90" s="71">
        <f>0</f>
        <v>0</v>
      </c>
      <c r="J90" s="72">
        <f>0</f>
        <v>0</v>
      </c>
      <c r="K90" s="72">
        <f>0</f>
        <v>0</v>
      </c>
      <c r="L90" s="72">
        <f>0</f>
        <v>0</v>
      </c>
      <c r="M90" s="72">
        <f>0</f>
        <v>0</v>
      </c>
      <c r="N90" s="72">
        <f>0</f>
        <v>0</v>
      </c>
      <c r="O90" s="72">
        <f>0</f>
        <v>0</v>
      </c>
      <c r="P90" s="72">
        <f>0</f>
        <v>0</v>
      </c>
      <c r="Q90" s="72">
        <f>0</f>
        <v>0</v>
      </c>
      <c r="R90" s="72">
        <f>0</f>
        <v>0</v>
      </c>
      <c r="S90" s="72">
        <f>0</f>
        <v>0</v>
      </c>
      <c r="T90" s="72">
        <f>0</f>
        <v>0</v>
      </c>
      <c r="U90" s="72">
        <f>0</f>
        <v>0</v>
      </c>
      <c r="V90" s="72">
        <f>0</f>
        <v>0</v>
      </c>
      <c r="W90" s="72">
        <f>0</f>
        <v>0</v>
      </c>
      <c r="X90" s="72">
        <f>0</f>
        <v>0</v>
      </c>
      <c r="Y90" s="72">
        <f>0</f>
        <v>0</v>
      </c>
      <c r="Z90" s="72">
        <f>0</f>
        <v>0</v>
      </c>
      <c r="AA90" s="72">
        <f>0</f>
        <v>0</v>
      </c>
      <c r="AB90" s="72">
        <f>0</f>
        <v>0</v>
      </c>
      <c r="AC90" s="72">
        <f>0</f>
        <v>0</v>
      </c>
      <c r="AD90" s="72">
        <f>0</f>
        <v>0</v>
      </c>
      <c r="AE90" s="72">
        <f>0</f>
        <v>0</v>
      </c>
      <c r="AF90" s="72">
        <f>0</f>
        <v>0</v>
      </c>
      <c r="AG90" s="72">
        <f>0</f>
        <v>0</v>
      </c>
      <c r="AH90" s="72">
        <f>0</f>
        <v>0</v>
      </c>
      <c r="AI90" s="72">
        <f>0</f>
        <v>0</v>
      </c>
      <c r="AJ90" s="72">
        <f>0</f>
        <v>0</v>
      </c>
      <c r="AK90" s="72">
        <f>0</f>
        <v>0</v>
      </c>
      <c r="AL90" s="73">
        <f>0</f>
        <v>0</v>
      </c>
    </row>
    <row r="91" spans="2:38" ht="16.5" customHeight="1" outlineLevel="3">
      <c r="B91" s="65" t="s">
        <v>278</v>
      </c>
      <c r="C91" s="74" t="s">
        <v>269</v>
      </c>
      <c r="D91" s="75" t="s">
        <v>270</v>
      </c>
      <c r="E91" s="68">
        <f>0</f>
        <v>0</v>
      </c>
      <c r="F91" s="69">
        <f>0</f>
        <v>0</v>
      </c>
      <c r="G91" s="69">
        <f>0</f>
        <v>0</v>
      </c>
      <c r="H91" s="70">
        <f>0</f>
        <v>0</v>
      </c>
      <c r="I91" s="71">
        <f>0</f>
        <v>0</v>
      </c>
      <c r="J91" s="72">
        <f>0</f>
        <v>0</v>
      </c>
      <c r="K91" s="72">
        <f>0</f>
        <v>0</v>
      </c>
      <c r="L91" s="72">
        <f>0</f>
        <v>0</v>
      </c>
      <c r="M91" s="72">
        <f>0</f>
        <v>0</v>
      </c>
      <c r="N91" s="72">
        <f>0</f>
        <v>0</v>
      </c>
      <c r="O91" s="72">
        <f>0</f>
        <v>0</v>
      </c>
      <c r="P91" s="72">
        <f>0</f>
        <v>0</v>
      </c>
      <c r="Q91" s="72">
        <f>0</f>
        <v>0</v>
      </c>
      <c r="R91" s="72">
        <f>0</f>
        <v>0</v>
      </c>
      <c r="S91" s="72">
        <f>0</f>
        <v>0</v>
      </c>
      <c r="T91" s="72">
        <f>0</f>
        <v>0</v>
      </c>
      <c r="U91" s="72">
        <f>0</f>
        <v>0</v>
      </c>
      <c r="V91" s="72">
        <f>0</f>
        <v>0</v>
      </c>
      <c r="W91" s="72">
        <f>0</f>
        <v>0</v>
      </c>
      <c r="X91" s="72">
        <f>0</f>
        <v>0</v>
      </c>
      <c r="Y91" s="72">
        <f>0</f>
        <v>0</v>
      </c>
      <c r="Z91" s="72">
        <f>0</f>
        <v>0</v>
      </c>
      <c r="AA91" s="72">
        <f>0</f>
        <v>0</v>
      </c>
      <c r="AB91" s="72">
        <f>0</f>
        <v>0</v>
      </c>
      <c r="AC91" s="72">
        <f>0</f>
        <v>0</v>
      </c>
      <c r="AD91" s="72">
        <f>0</f>
        <v>0</v>
      </c>
      <c r="AE91" s="72">
        <f>0</f>
        <v>0</v>
      </c>
      <c r="AF91" s="72">
        <f>0</f>
        <v>0</v>
      </c>
      <c r="AG91" s="72">
        <f>0</f>
        <v>0</v>
      </c>
      <c r="AH91" s="72">
        <f>0</f>
        <v>0</v>
      </c>
      <c r="AI91" s="72">
        <f>0</f>
        <v>0</v>
      </c>
      <c r="AJ91" s="72">
        <f>0</f>
        <v>0</v>
      </c>
      <c r="AK91" s="72">
        <f>0</f>
        <v>0</v>
      </c>
      <c r="AL91" s="73">
        <f>0</f>
        <v>0</v>
      </c>
    </row>
    <row r="92" spans="2:38" ht="49.5" customHeight="1" outlineLevel="2">
      <c r="B92" s="65" t="s">
        <v>279</v>
      </c>
      <c r="C92" s="74" t="s">
        <v>280</v>
      </c>
      <c r="D92" s="67" t="s">
        <v>281</v>
      </c>
      <c r="E92" s="68">
        <f>0</f>
        <v>0</v>
      </c>
      <c r="F92" s="69">
        <f>0</f>
        <v>0</v>
      </c>
      <c r="G92" s="69">
        <f>0</f>
        <v>0</v>
      </c>
      <c r="H92" s="70">
        <f>0</f>
        <v>0</v>
      </c>
      <c r="I92" s="71">
        <f>0</f>
        <v>0</v>
      </c>
      <c r="J92" s="72">
        <f>0</f>
        <v>0</v>
      </c>
      <c r="K92" s="72">
        <f>0</f>
        <v>0</v>
      </c>
      <c r="L92" s="72">
        <f>0</f>
        <v>0</v>
      </c>
      <c r="M92" s="72">
        <f>0</f>
        <v>0</v>
      </c>
      <c r="N92" s="72">
        <f>0</f>
        <v>0</v>
      </c>
      <c r="O92" s="72">
        <f>0</f>
        <v>0</v>
      </c>
      <c r="P92" s="72">
        <f>0</f>
        <v>0</v>
      </c>
      <c r="Q92" s="72">
        <f>0</f>
        <v>0</v>
      </c>
      <c r="R92" s="72">
        <f>0</f>
        <v>0</v>
      </c>
      <c r="S92" s="72">
        <f>0</f>
        <v>0</v>
      </c>
      <c r="T92" s="72">
        <f>0</f>
        <v>0</v>
      </c>
      <c r="U92" s="72">
        <f>0</f>
        <v>0</v>
      </c>
      <c r="V92" s="72">
        <f>0</f>
        <v>0</v>
      </c>
      <c r="W92" s="72">
        <f>0</f>
        <v>0</v>
      </c>
      <c r="X92" s="72">
        <f>0</f>
        <v>0</v>
      </c>
      <c r="Y92" s="72">
        <f>0</f>
        <v>0</v>
      </c>
      <c r="Z92" s="72">
        <f>0</f>
        <v>0</v>
      </c>
      <c r="AA92" s="72">
        <f>0</f>
        <v>0</v>
      </c>
      <c r="AB92" s="72">
        <f>0</f>
        <v>0</v>
      </c>
      <c r="AC92" s="72">
        <f>0</f>
        <v>0</v>
      </c>
      <c r="AD92" s="72">
        <f>0</f>
        <v>0</v>
      </c>
      <c r="AE92" s="72">
        <f>0</f>
        <v>0</v>
      </c>
      <c r="AF92" s="72">
        <f>0</f>
        <v>0</v>
      </c>
      <c r="AG92" s="72">
        <f>0</f>
        <v>0</v>
      </c>
      <c r="AH92" s="72">
        <f>0</f>
        <v>0</v>
      </c>
      <c r="AI92" s="72">
        <f>0</f>
        <v>0</v>
      </c>
      <c r="AJ92" s="72">
        <f>0</f>
        <v>0</v>
      </c>
      <c r="AK92" s="72">
        <f>0</f>
        <v>0</v>
      </c>
      <c r="AL92" s="73">
        <f>0</f>
        <v>0</v>
      </c>
    </row>
    <row r="93" spans="2:38" ht="14.25" outlineLevel="3">
      <c r="B93" s="65" t="s">
        <v>282</v>
      </c>
      <c r="C93" s="74" t="s">
        <v>269</v>
      </c>
      <c r="D93" s="75" t="s">
        <v>270</v>
      </c>
      <c r="E93" s="68">
        <f>0</f>
        <v>0</v>
      </c>
      <c r="F93" s="69">
        <f>0</f>
        <v>0</v>
      </c>
      <c r="G93" s="69">
        <f>0</f>
        <v>0</v>
      </c>
      <c r="H93" s="70">
        <f>0</f>
        <v>0</v>
      </c>
      <c r="I93" s="71">
        <f>0</f>
        <v>0</v>
      </c>
      <c r="J93" s="72">
        <f>0</f>
        <v>0</v>
      </c>
      <c r="K93" s="72">
        <f>0</f>
        <v>0</v>
      </c>
      <c r="L93" s="72">
        <f>0</f>
        <v>0</v>
      </c>
      <c r="M93" s="72">
        <f>0</f>
        <v>0</v>
      </c>
      <c r="N93" s="72">
        <f>0</f>
        <v>0</v>
      </c>
      <c r="O93" s="72">
        <f>0</f>
        <v>0</v>
      </c>
      <c r="P93" s="72">
        <f>0</f>
        <v>0</v>
      </c>
      <c r="Q93" s="72">
        <f>0</f>
        <v>0</v>
      </c>
      <c r="R93" s="72">
        <f>0</f>
        <v>0</v>
      </c>
      <c r="S93" s="72">
        <f>0</f>
        <v>0</v>
      </c>
      <c r="T93" s="72">
        <f>0</f>
        <v>0</v>
      </c>
      <c r="U93" s="72">
        <f>0</f>
        <v>0</v>
      </c>
      <c r="V93" s="72">
        <f>0</f>
        <v>0</v>
      </c>
      <c r="W93" s="72">
        <f>0</f>
        <v>0</v>
      </c>
      <c r="X93" s="72">
        <f>0</f>
        <v>0</v>
      </c>
      <c r="Y93" s="72">
        <f>0</f>
        <v>0</v>
      </c>
      <c r="Z93" s="72">
        <f>0</f>
        <v>0</v>
      </c>
      <c r="AA93" s="72">
        <f>0</f>
        <v>0</v>
      </c>
      <c r="AB93" s="72">
        <f>0</f>
        <v>0</v>
      </c>
      <c r="AC93" s="72">
        <f>0</f>
        <v>0</v>
      </c>
      <c r="AD93" s="72">
        <f>0</f>
        <v>0</v>
      </c>
      <c r="AE93" s="72">
        <f>0</f>
        <v>0</v>
      </c>
      <c r="AF93" s="72">
        <f>0</f>
        <v>0</v>
      </c>
      <c r="AG93" s="72">
        <f>0</f>
        <v>0</v>
      </c>
      <c r="AH93" s="72">
        <f>0</f>
        <v>0</v>
      </c>
      <c r="AI93" s="72">
        <f>0</f>
        <v>0</v>
      </c>
      <c r="AJ93" s="72">
        <f>0</f>
        <v>0</v>
      </c>
      <c r="AK93" s="72">
        <f>0</f>
        <v>0</v>
      </c>
      <c r="AL93" s="73">
        <f>0</f>
        <v>0</v>
      </c>
    </row>
    <row r="94" spans="2:39" ht="24" outlineLevel="1" collapsed="1">
      <c r="B94" s="55">
        <v>13</v>
      </c>
      <c r="C94" s="56" t="s">
        <v>283</v>
      </c>
      <c r="D94" s="97" t="s">
        <v>283</v>
      </c>
      <c r="E94" s="78" t="s">
        <v>71</v>
      </c>
      <c r="F94" s="79" t="s">
        <v>71</v>
      </c>
      <c r="G94" s="79" t="s">
        <v>71</v>
      </c>
      <c r="H94" s="80" t="s">
        <v>71</v>
      </c>
      <c r="I94" s="81" t="s">
        <v>71</v>
      </c>
      <c r="J94" s="82" t="s">
        <v>71</v>
      </c>
      <c r="K94" s="82" t="s">
        <v>71</v>
      </c>
      <c r="L94" s="82" t="s">
        <v>71</v>
      </c>
      <c r="M94" s="82" t="s">
        <v>71</v>
      </c>
      <c r="N94" s="82" t="s">
        <v>71</v>
      </c>
      <c r="O94" s="82" t="s">
        <v>71</v>
      </c>
      <c r="P94" s="82" t="s">
        <v>71</v>
      </c>
      <c r="Q94" s="82" t="s">
        <v>71</v>
      </c>
      <c r="R94" s="82" t="s">
        <v>71</v>
      </c>
      <c r="S94" s="82" t="s">
        <v>71</v>
      </c>
      <c r="T94" s="82" t="s">
        <v>71</v>
      </c>
      <c r="U94" s="82" t="s">
        <v>71</v>
      </c>
      <c r="V94" s="82" t="s">
        <v>71</v>
      </c>
      <c r="W94" s="82" t="s">
        <v>71</v>
      </c>
      <c r="X94" s="82" t="s">
        <v>71</v>
      </c>
      <c r="Y94" s="82" t="s">
        <v>71</v>
      </c>
      <c r="Z94" s="82" t="s">
        <v>71</v>
      </c>
      <c r="AA94" s="82" t="s">
        <v>71</v>
      </c>
      <c r="AB94" s="82" t="s">
        <v>71</v>
      </c>
      <c r="AC94" s="82" t="s">
        <v>71</v>
      </c>
      <c r="AD94" s="82" t="s">
        <v>71</v>
      </c>
      <c r="AE94" s="82" t="s">
        <v>71</v>
      </c>
      <c r="AF94" s="82" t="s">
        <v>71</v>
      </c>
      <c r="AG94" s="82" t="s">
        <v>71</v>
      </c>
      <c r="AH94" s="82" t="s">
        <v>71</v>
      </c>
      <c r="AI94" s="82" t="s">
        <v>71</v>
      </c>
      <c r="AJ94" s="82" t="s">
        <v>71</v>
      </c>
      <c r="AK94" s="82" t="s">
        <v>71</v>
      </c>
      <c r="AL94" s="83" t="s">
        <v>71</v>
      </c>
      <c r="AM94" s="64"/>
    </row>
    <row r="95" spans="2:38" ht="36" hidden="1" outlineLevel="2">
      <c r="B95" s="65" t="s">
        <v>284</v>
      </c>
      <c r="C95" s="74" t="s">
        <v>285</v>
      </c>
      <c r="D95" s="67" t="s">
        <v>286</v>
      </c>
      <c r="E95" s="68">
        <f>0</f>
        <v>0</v>
      </c>
      <c r="F95" s="69">
        <f>0</f>
        <v>0</v>
      </c>
      <c r="G95" s="69">
        <f>0</f>
        <v>0</v>
      </c>
      <c r="H95" s="70">
        <f>0</f>
        <v>0</v>
      </c>
      <c r="I95" s="71">
        <f>0</f>
        <v>0</v>
      </c>
      <c r="J95" s="72">
        <f>0</f>
        <v>0</v>
      </c>
      <c r="K95" s="72">
        <f>0</f>
        <v>0</v>
      </c>
      <c r="L95" s="72">
        <f>0</f>
        <v>0</v>
      </c>
      <c r="M95" s="72">
        <f>0</f>
        <v>0</v>
      </c>
      <c r="N95" s="72">
        <f>0</f>
        <v>0</v>
      </c>
      <c r="O95" s="72">
        <f>0</f>
        <v>0</v>
      </c>
      <c r="P95" s="72">
        <f>0</f>
        <v>0</v>
      </c>
      <c r="Q95" s="72">
        <f>0</f>
        <v>0</v>
      </c>
      <c r="R95" s="72">
        <f>0</f>
        <v>0</v>
      </c>
      <c r="S95" s="72">
        <f>0</f>
        <v>0</v>
      </c>
      <c r="T95" s="72">
        <f>0</f>
        <v>0</v>
      </c>
      <c r="U95" s="72">
        <f>0</f>
        <v>0</v>
      </c>
      <c r="V95" s="72">
        <f>0</f>
        <v>0</v>
      </c>
      <c r="W95" s="72">
        <f>0</f>
        <v>0</v>
      </c>
      <c r="X95" s="72">
        <f>0</f>
        <v>0</v>
      </c>
      <c r="Y95" s="72">
        <f>0</f>
        <v>0</v>
      </c>
      <c r="Z95" s="72">
        <f>0</f>
        <v>0</v>
      </c>
      <c r="AA95" s="72">
        <f>0</f>
        <v>0</v>
      </c>
      <c r="AB95" s="72">
        <f>0</f>
        <v>0</v>
      </c>
      <c r="AC95" s="72">
        <f>0</f>
        <v>0</v>
      </c>
      <c r="AD95" s="72">
        <f>0</f>
        <v>0</v>
      </c>
      <c r="AE95" s="72">
        <f>0</f>
        <v>0</v>
      </c>
      <c r="AF95" s="72">
        <f>0</f>
        <v>0</v>
      </c>
      <c r="AG95" s="72">
        <f>0</f>
        <v>0</v>
      </c>
      <c r="AH95" s="72">
        <f>0</f>
        <v>0</v>
      </c>
      <c r="AI95" s="72">
        <f>0</f>
        <v>0</v>
      </c>
      <c r="AJ95" s="72">
        <f>0</f>
        <v>0</v>
      </c>
      <c r="AK95" s="72">
        <f>0</f>
        <v>0</v>
      </c>
      <c r="AL95" s="73">
        <f>0</f>
        <v>0</v>
      </c>
    </row>
    <row r="96" spans="2:38" ht="36" hidden="1" outlineLevel="2">
      <c r="B96" s="65" t="s">
        <v>287</v>
      </c>
      <c r="C96" s="74" t="s">
        <v>288</v>
      </c>
      <c r="D96" s="67" t="s">
        <v>289</v>
      </c>
      <c r="E96" s="68">
        <f>0</f>
        <v>0</v>
      </c>
      <c r="F96" s="69">
        <f>0</f>
        <v>0</v>
      </c>
      <c r="G96" s="69">
        <f>0</f>
        <v>0</v>
      </c>
      <c r="H96" s="70">
        <f>0</f>
        <v>0</v>
      </c>
      <c r="I96" s="71">
        <f>0</f>
        <v>0</v>
      </c>
      <c r="J96" s="72">
        <f>0</f>
        <v>0</v>
      </c>
      <c r="K96" s="72">
        <f>0</f>
        <v>0</v>
      </c>
      <c r="L96" s="72">
        <f>0</f>
        <v>0</v>
      </c>
      <c r="M96" s="72">
        <f>0</f>
        <v>0</v>
      </c>
      <c r="N96" s="72">
        <f>0</f>
        <v>0</v>
      </c>
      <c r="O96" s="72">
        <f>0</f>
        <v>0</v>
      </c>
      <c r="P96" s="72">
        <f>0</f>
        <v>0</v>
      </c>
      <c r="Q96" s="72">
        <f>0</f>
        <v>0</v>
      </c>
      <c r="R96" s="72">
        <f>0</f>
        <v>0</v>
      </c>
      <c r="S96" s="72">
        <f>0</f>
        <v>0</v>
      </c>
      <c r="T96" s="72">
        <f>0</f>
        <v>0</v>
      </c>
      <c r="U96" s="72">
        <f>0</f>
        <v>0</v>
      </c>
      <c r="V96" s="72">
        <f>0</f>
        <v>0</v>
      </c>
      <c r="W96" s="72">
        <f>0</f>
        <v>0</v>
      </c>
      <c r="X96" s="72">
        <f>0</f>
        <v>0</v>
      </c>
      <c r="Y96" s="72">
        <f>0</f>
        <v>0</v>
      </c>
      <c r="Z96" s="72">
        <f>0</f>
        <v>0</v>
      </c>
      <c r="AA96" s="72">
        <f>0</f>
        <v>0</v>
      </c>
      <c r="AB96" s="72">
        <f>0</f>
        <v>0</v>
      </c>
      <c r="AC96" s="72">
        <f>0</f>
        <v>0</v>
      </c>
      <c r="AD96" s="72">
        <f>0</f>
        <v>0</v>
      </c>
      <c r="AE96" s="72">
        <f>0</f>
        <v>0</v>
      </c>
      <c r="AF96" s="72">
        <f>0</f>
        <v>0</v>
      </c>
      <c r="AG96" s="72">
        <f>0</f>
        <v>0</v>
      </c>
      <c r="AH96" s="72">
        <f>0</f>
        <v>0</v>
      </c>
      <c r="AI96" s="72">
        <f>0</f>
        <v>0</v>
      </c>
      <c r="AJ96" s="72">
        <f>0</f>
        <v>0</v>
      </c>
      <c r="AK96" s="72">
        <f>0</f>
        <v>0</v>
      </c>
      <c r="AL96" s="73">
        <f>0</f>
        <v>0</v>
      </c>
    </row>
    <row r="97" spans="2:38" ht="24" hidden="1" outlineLevel="2">
      <c r="B97" s="65" t="s">
        <v>290</v>
      </c>
      <c r="C97" s="74" t="s">
        <v>291</v>
      </c>
      <c r="D97" s="67" t="s">
        <v>292</v>
      </c>
      <c r="E97" s="68">
        <f>0</f>
        <v>0</v>
      </c>
      <c r="F97" s="69">
        <f>0</f>
        <v>0</v>
      </c>
      <c r="G97" s="69">
        <f>0</f>
        <v>0</v>
      </c>
      <c r="H97" s="70">
        <f>0</f>
        <v>0</v>
      </c>
      <c r="I97" s="71">
        <f>0</f>
        <v>0</v>
      </c>
      <c r="J97" s="72">
        <f>0</f>
        <v>0</v>
      </c>
      <c r="K97" s="72">
        <f>0</f>
        <v>0</v>
      </c>
      <c r="L97" s="72">
        <f>0</f>
        <v>0</v>
      </c>
      <c r="M97" s="72">
        <f>0</f>
        <v>0</v>
      </c>
      <c r="N97" s="72">
        <f>0</f>
        <v>0</v>
      </c>
      <c r="O97" s="72">
        <f>0</f>
        <v>0</v>
      </c>
      <c r="P97" s="72">
        <f>0</f>
        <v>0</v>
      </c>
      <c r="Q97" s="72">
        <f>0</f>
        <v>0</v>
      </c>
      <c r="R97" s="72">
        <f>0</f>
        <v>0</v>
      </c>
      <c r="S97" s="72">
        <f>0</f>
        <v>0</v>
      </c>
      <c r="T97" s="72">
        <f>0</f>
        <v>0</v>
      </c>
      <c r="U97" s="72">
        <f>0</f>
        <v>0</v>
      </c>
      <c r="V97" s="72">
        <f>0</f>
        <v>0</v>
      </c>
      <c r="W97" s="72">
        <f>0</f>
        <v>0</v>
      </c>
      <c r="X97" s="72">
        <f>0</f>
        <v>0</v>
      </c>
      <c r="Y97" s="72">
        <f>0</f>
        <v>0</v>
      </c>
      <c r="Z97" s="72">
        <f>0</f>
        <v>0</v>
      </c>
      <c r="AA97" s="72">
        <f>0</f>
        <v>0</v>
      </c>
      <c r="AB97" s="72">
        <f>0</f>
        <v>0</v>
      </c>
      <c r="AC97" s="72">
        <f>0</f>
        <v>0</v>
      </c>
      <c r="AD97" s="72">
        <f>0</f>
        <v>0</v>
      </c>
      <c r="AE97" s="72">
        <f>0</f>
        <v>0</v>
      </c>
      <c r="AF97" s="72">
        <f>0</f>
        <v>0</v>
      </c>
      <c r="AG97" s="72">
        <f>0</f>
        <v>0</v>
      </c>
      <c r="AH97" s="72">
        <f>0</f>
        <v>0</v>
      </c>
      <c r="AI97" s="72">
        <f>0</f>
        <v>0</v>
      </c>
      <c r="AJ97" s="72">
        <f>0</f>
        <v>0</v>
      </c>
      <c r="AK97" s="72">
        <f>0</f>
        <v>0</v>
      </c>
      <c r="AL97" s="73">
        <f>0</f>
        <v>0</v>
      </c>
    </row>
    <row r="98" spans="2:38" ht="36" hidden="1" outlineLevel="2">
      <c r="B98" s="65" t="s">
        <v>293</v>
      </c>
      <c r="C98" s="74" t="s">
        <v>294</v>
      </c>
      <c r="D98" s="67" t="s">
        <v>295</v>
      </c>
      <c r="E98" s="68">
        <f>0</f>
        <v>0</v>
      </c>
      <c r="F98" s="69">
        <f>0</f>
        <v>0</v>
      </c>
      <c r="G98" s="69">
        <f>0</f>
        <v>0</v>
      </c>
      <c r="H98" s="70">
        <f>0</f>
        <v>0</v>
      </c>
      <c r="I98" s="71">
        <f>0</f>
        <v>0</v>
      </c>
      <c r="J98" s="72">
        <f>0</f>
        <v>0</v>
      </c>
      <c r="K98" s="72">
        <f>0</f>
        <v>0</v>
      </c>
      <c r="L98" s="72">
        <f>0</f>
        <v>0</v>
      </c>
      <c r="M98" s="72">
        <f>0</f>
        <v>0</v>
      </c>
      <c r="N98" s="72">
        <f>0</f>
        <v>0</v>
      </c>
      <c r="O98" s="72">
        <f>0</f>
        <v>0</v>
      </c>
      <c r="P98" s="72">
        <f>0</f>
        <v>0</v>
      </c>
      <c r="Q98" s="72">
        <f>0</f>
        <v>0</v>
      </c>
      <c r="R98" s="72">
        <f>0</f>
        <v>0</v>
      </c>
      <c r="S98" s="72">
        <f>0</f>
        <v>0</v>
      </c>
      <c r="T98" s="72">
        <f>0</f>
        <v>0</v>
      </c>
      <c r="U98" s="72">
        <f>0</f>
        <v>0</v>
      </c>
      <c r="V98" s="72">
        <f>0</f>
        <v>0</v>
      </c>
      <c r="W98" s="72">
        <f>0</f>
        <v>0</v>
      </c>
      <c r="X98" s="72">
        <f>0</f>
        <v>0</v>
      </c>
      <c r="Y98" s="72">
        <f>0</f>
        <v>0</v>
      </c>
      <c r="Z98" s="72">
        <f>0</f>
        <v>0</v>
      </c>
      <c r="AA98" s="72">
        <f>0</f>
        <v>0</v>
      </c>
      <c r="AB98" s="72">
        <f>0</f>
        <v>0</v>
      </c>
      <c r="AC98" s="72">
        <f>0</f>
        <v>0</v>
      </c>
      <c r="AD98" s="72">
        <f>0</f>
        <v>0</v>
      </c>
      <c r="AE98" s="72">
        <f>0</f>
        <v>0</v>
      </c>
      <c r="AF98" s="72">
        <f>0</f>
        <v>0</v>
      </c>
      <c r="AG98" s="72">
        <f>0</f>
        <v>0</v>
      </c>
      <c r="AH98" s="72">
        <f>0</f>
        <v>0</v>
      </c>
      <c r="AI98" s="72">
        <f>0</f>
        <v>0</v>
      </c>
      <c r="AJ98" s="72">
        <f>0</f>
        <v>0</v>
      </c>
      <c r="AK98" s="72">
        <f>0</f>
        <v>0</v>
      </c>
      <c r="AL98" s="73">
        <f>0</f>
        <v>0</v>
      </c>
    </row>
    <row r="99" spans="2:38" ht="36" hidden="1" outlineLevel="2">
      <c r="B99" s="65" t="s">
        <v>296</v>
      </c>
      <c r="C99" s="74" t="s">
        <v>297</v>
      </c>
      <c r="D99" s="67" t="s">
        <v>298</v>
      </c>
      <c r="E99" s="68">
        <f>0</f>
        <v>0</v>
      </c>
      <c r="F99" s="69">
        <f>0</f>
        <v>0</v>
      </c>
      <c r="G99" s="69">
        <f>0</f>
        <v>0</v>
      </c>
      <c r="H99" s="70">
        <f>0</f>
        <v>0</v>
      </c>
      <c r="I99" s="71">
        <f>0</f>
        <v>0</v>
      </c>
      <c r="J99" s="72">
        <f>0</f>
        <v>0</v>
      </c>
      <c r="K99" s="72">
        <f>0</f>
        <v>0</v>
      </c>
      <c r="L99" s="72">
        <f>0</f>
        <v>0</v>
      </c>
      <c r="M99" s="72">
        <f>0</f>
        <v>0</v>
      </c>
      <c r="N99" s="72">
        <f>0</f>
        <v>0</v>
      </c>
      <c r="O99" s="72">
        <f>0</f>
        <v>0</v>
      </c>
      <c r="P99" s="72">
        <f>0</f>
        <v>0</v>
      </c>
      <c r="Q99" s="72">
        <f>0</f>
        <v>0</v>
      </c>
      <c r="R99" s="72">
        <f>0</f>
        <v>0</v>
      </c>
      <c r="S99" s="72">
        <f>0</f>
        <v>0</v>
      </c>
      <c r="T99" s="72">
        <f>0</f>
        <v>0</v>
      </c>
      <c r="U99" s="72">
        <f>0</f>
        <v>0</v>
      </c>
      <c r="V99" s="72">
        <f>0</f>
        <v>0</v>
      </c>
      <c r="W99" s="72">
        <f>0</f>
        <v>0</v>
      </c>
      <c r="X99" s="72">
        <f>0</f>
        <v>0</v>
      </c>
      <c r="Y99" s="72">
        <f>0</f>
        <v>0</v>
      </c>
      <c r="Z99" s="72">
        <f>0</f>
        <v>0</v>
      </c>
      <c r="AA99" s="72">
        <f>0</f>
        <v>0</v>
      </c>
      <c r="AB99" s="72">
        <f>0</f>
        <v>0</v>
      </c>
      <c r="AC99" s="72">
        <f>0</f>
        <v>0</v>
      </c>
      <c r="AD99" s="72">
        <f>0</f>
        <v>0</v>
      </c>
      <c r="AE99" s="72">
        <f>0</f>
        <v>0</v>
      </c>
      <c r="AF99" s="72">
        <f>0</f>
        <v>0</v>
      </c>
      <c r="AG99" s="72">
        <f>0</f>
        <v>0</v>
      </c>
      <c r="AH99" s="72">
        <f>0</f>
        <v>0</v>
      </c>
      <c r="AI99" s="72">
        <f>0</f>
        <v>0</v>
      </c>
      <c r="AJ99" s="72">
        <f>0</f>
        <v>0</v>
      </c>
      <c r="AK99" s="72">
        <f>0</f>
        <v>0</v>
      </c>
      <c r="AL99" s="73">
        <f>0</f>
        <v>0</v>
      </c>
    </row>
    <row r="100" spans="2:38" ht="24" hidden="1" outlineLevel="2">
      <c r="B100" s="65" t="s">
        <v>299</v>
      </c>
      <c r="C100" s="74" t="s">
        <v>300</v>
      </c>
      <c r="D100" s="67" t="s">
        <v>301</v>
      </c>
      <c r="E100" s="68">
        <f>0</f>
        <v>0</v>
      </c>
      <c r="F100" s="69">
        <f>0</f>
        <v>0</v>
      </c>
      <c r="G100" s="69">
        <f>0</f>
        <v>0</v>
      </c>
      <c r="H100" s="70">
        <f>0</f>
        <v>0</v>
      </c>
      <c r="I100" s="71">
        <f>0</f>
        <v>0</v>
      </c>
      <c r="J100" s="72">
        <f>0</f>
        <v>0</v>
      </c>
      <c r="K100" s="72">
        <f>0</f>
        <v>0</v>
      </c>
      <c r="L100" s="72">
        <f>0</f>
        <v>0</v>
      </c>
      <c r="M100" s="72">
        <f>0</f>
        <v>0</v>
      </c>
      <c r="N100" s="72">
        <f>0</f>
        <v>0</v>
      </c>
      <c r="O100" s="72">
        <f>0</f>
        <v>0</v>
      </c>
      <c r="P100" s="72">
        <f>0</f>
        <v>0</v>
      </c>
      <c r="Q100" s="72">
        <f>0</f>
        <v>0</v>
      </c>
      <c r="R100" s="72">
        <f>0</f>
        <v>0</v>
      </c>
      <c r="S100" s="72">
        <f>0</f>
        <v>0</v>
      </c>
      <c r="T100" s="72">
        <f>0</f>
        <v>0</v>
      </c>
      <c r="U100" s="72">
        <f>0</f>
        <v>0</v>
      </c>
      <c r="V100" s="72">
        <f>0</f>
        <v>0</v>
      </c>
      <c r="W100" s="72">
        <f>0</f>
        <v>0</v>
      </c>
      <c r="X100" s="72">
        <f>0</f>
        <v>0</v>
      </c>
      <c r="Y100" s="72">
        <f>0</f>
        <v>0</v>
      </c>
      <c r="Z100" s="72">
        <f>0</f>
        <v>0</v>
      </c>
      <c r="AA100" s="72">
        <f>0</f>
        <v>0</v>
      </c>
      <c r="AB100" s="72">
        <f>0</f>
        <v>0</v>
      </c>
      <c r="AC100" s="72">
        <f>0</f>
        <v>0</v>
      </c>
      <c r="AD100" s="72">
        <f>0</f>
        <v>0</v>
      </c>
      <c r="AE100" s="72">
        <f>0</f>
        <v>0</v>
      </c>
      <c r="AF100" s="72">
        <f>0</f>
        <v>0</v>
      </c>
      <c r="AG100" s="72">
        <f>0</f>
        <v>0</v>
      </c>
      <c r="AH100" s="72">
        <f>0</f>
        <v>0</v>
      </c>
      <c r="AI100" s="72">
        <f>0</f>
        <v>0</v>
      </c>
      <c r="AJ100" s="72">
        <f>0</f>
        <v>0</v>
      </c>
      <c r="AK100" s="72">
        <f>0</f>
        <v>0</v>
      </c>
      <c r="AL100" s="73">
        <f>0</f>
        <v>0</v>
      </c>
    </row>
    <row r="101" spans="2:38" ht="24" hidden="1" outlineLevel="2">
      <c r="B101" s="65" t="s">
        <v>302</v>
      </c>
      <c r="C101" s="74" t="s">
        <v>303</v>
      </c>
      <c r="D101" s="67" t="s">
        <v>304</v>
      </c>
      <c r="E101" s="68">
        <f>0</f>
        <v>0</v>
      </c>
      <c r="F101" s="69">
        <f>0</f>
        <v>0</v>
      </c>
      <c r="G101" s="69">
        <f>0</f>
        <v>0</v>
      </c>
      <c r="H101" s="70">
        <f>0</f>
        <v>0</v>
      </c>
      <c r="I101" s="71">
        <f>0</f>
        <v>0</v>
      </c>
      <c r="J101" s="72">
        <f>0</f>
        <v>0</v>
      </c>
      <c r="K101" s="72">
        <f>0</f>
        <v>0</v>
      </c>
      <c r="L101" s="72">
        <f>0</f>
        <v>0</v>
      </c>
      <c r="M101" s="72">
        <f>0</f>
        <v>0</v>
      </c>
      <c r="N101" s="72">
        <f>0</f>
        <v>0</v>
      </c>
      <c r="O101" s="72">
        <f>0</f>
        <v>0</v>
      </c>
      <c r="P101" s="72">
        <f>0</f>
        <v>0</v>
      </c>
      <c r="Q101" s="72">
        <f>0</f>
        <v>0</v>
      </c>
      <c r="R101" s="72">
        <f>0</f>
        <v>0</v>
      </c>
      <c r="S101" s="72">
        <f>0</f>
        <v>0</v>
      </c>
      <c r="T101" s="72">
        <f>0</f>
        <v>0</v>
      </c>
      <c r="U101" s="72">
        <f>0</f>
        <v>0</v>
      </c>
      <c r="V101" s="72">
        <f>0</f>
        <v>0</v>
      </c>
      <c r="W101" s="72">
        <f>0</f>
        <v>0</v>
      </c>
      <c r="X101" s="72">
        <f>0</f>
        <v>0</v>
      </c>
      <c r="Y101" s="72">
        <f>0</f>
        <v>0</v>
      </c>
      <c r="Z101" s="72">
        <f>0</f>
        <v>0</v>
      </c>
      <c r="AA101" s="72">
        <f>0</f>
        <v>0</v>
      </c>
      <c r="AB101" s="72">
        <f>0</f>
        <v>0</v>
      </c>
      <c r="AC101" s="72">
        <f>0</f>
        <v>0</v>
      </c>
      <c r="AD101" s="72">
        <f>0</f>
        <v>0</v>
      </c>
      <c r="AE101" s="72">
        <f>0</f>
        <v>0</v>
      </c>
      <c r="AF101" s="72">
        <f>0</f>
        <v>0</v>
      </c>
      <c r="AG101" s="72">
        <f>0</f>
        <v>0</v>
      </c>
      <c r="AH101" s="72">
        <f>0</f>
        <v>0</v>
      </c>
      <c r="AI101" s="72">
        <f>0</f>
        <v>0</v>
      </c>
      <c r="AJ101" s="72">
        <f>0</f>
        <v>0</v>
      </c>
      <c r="AK101" s="72">
        <f>0</f>
        <v>0</v>
      </c>
      <c r="AL101" s="73">
        <f>0</f>
        <v>0</v>
      </c>
    </row>
    <row r="102" spans="1:39" ht="15" outlineLevel="1">
      <c r="A102" s="25" t="s">
        <v>71</v>
      </c>
      <c r="B102" s="55">
        <v>14</v>
      </c>
      <c r="C102" s="56" t="s">
        <v>305</v>
      </c>
      <c r="D102" s="57" t="s">
        <v>305</v>
      </c>
      <c r="E102" s="78" t="s">
        <v>71</v>
      </c>
      <c r="F102" s="79" t="s">
        <v>71</v>
      </c>
      <c r="G102" s="79" t="s">
        <v>71</v>
      </c>
      <c r="H102" s="80" t="s">
        <v>71</v>
      </c>
      <c r="I102" s="81" t="s">
        <v>71</v>
      </c>
      <c r="J102" s="82" t="s">
        <v>71</v>
      </c>
      <c r="K102" s="82" t="s">
        <v>71</v>
      </c>
      <c r="L102" s="82" t="s">
        <v>71</v>
      </c>
      <c r="M102" s="82" t="s">
        <v>71</v>
      </c>
      <c r="N102" s="82" t="s">
        <v>71</v>
      </c>
      <c r="O102" s="82" t="s">
        <v>71</v>
      </c>
      <c r="P102" s="82" t="s">
        <v>71</v>
      </c>
      <c r="Q102" s="82" t="s">
        <v>71</v>
      </c>
      <c r="R102" s="82" t="s">
        <v>71</v>
      </c>
      <c r="S102" s="82" t="s">
        <v>71</v>
      </c>
      <c r="T102" s="82" t="s">
        <v>71</v>
      </c>
      <c r="U102" s="82" t="s">
        <v>71</v>
      </c>
      <c r="V102" s="82" t="s">
        <v>71</v>
      </c>
      <c r="W102" s="82" t="s">
        <v>71</v>
      </c>
      <c r="X102" s="82" t="s">
        <v>71</v>
      </c>
      <c r="Y102" s="82" t="s">
        <v>71</v>
      </c>
      <c r="Z102" s="82" t="s">
        <v>71</v>
      </c>
      <c r="AA102" s="82" t="s">
        <v>71</v>
      </c>
      <c r="AB102" s="82" t="s">
        <v>71</v>
      </c>
      <c r="AC102" s="82" t="s">
        <v>71</v>
      </c>
      <c r="AD102" s="82" t="s">
        <v>71</v>
      </c>
      <c r="AE102" s="82" t="s">
        <v>71</v>
      </c>
      <c r="AF102" s="82" t="s">
        <v>71</v>
      </c>
      <c r="AG102" s="82" t="s">
        <v>71</v>
      </c>
      <c r="AH102" s="82" t="s">
        <v>71</v>
      </c>
      <c r="AI102" s="82" t="s">
        <v>71</v>
      </c>
      <c r="AJ102" s="82" t="s">
        <v>71</v>
      </c>
      <c r="AK102" s="82" t="s">
        <v>71</v>
      </c>
      <c r="AL102" s="83" t="s">
        <v>71</v>
      </c>
      <c r="AM102" s="64"/>
    </row>
    <row r="103" spans="1:38" ht="24" outlineLevel="2">
      <c r="A103" s="25" t="s">
        <v>71</v>
      </c>
      <c r="B103" s="65" t="s">
        <v>306</v>
      </c>
      <c r="C103" s="74" t="s">
        <v>307</v>
      </c>
      <c r="D103" s="67" t="s">
        <v>308</v>
      </c>
      <c r="E103" s="68">
        <f>1503605.29</f>
        <v>1503605.29</v>
      </c>
      <c r="F103" s="69">
        <f>1594516</f>
        <v>1594516</v>
      </c>
      <c r="G103" s="69">
        <f>1864521</f>
        <v>1864521</v>
      </c>
      <c r="H103" s="70">
        <f>1411162.51</f>
        <v>1411162.51</v>
      </c>
      <c r="I103" s="71">
        <f>2417867.49</f>
        <v>2417867.49</v>
      </c>
      <c r="J103" s="72">
        <f>1964516</f>
        <v>1964516</v>
      </c>
      <c r="K103" s="72">
        <f>1964516</f>
        <v>1964516</v>
      </c>
      <c r="L103" s="72">
        <f>1964516</f>
        <v>1964516</v>
      </c>
      <c r="M103" s="72">
        <f>1964516</f>
        <v>1964516</v>
      </c>
      <c r="N103" s="72">
        <f>1924516</f>
        <v>1924516</v>
      </c>
      <c r="O103" s="72">
        <f>1021165.42</f>
        <v>1021165.42</v>
      </c>
      <c r="P103" s="72">
        <f>370000</f>
        <v>370000</v>
      </c>
      <c r="Q103" s="72">
        <f>270000</f>
        <v>270000</v>
      </c>
      <c r="R103" s="72">
        <f>0</f>
        <v>0</v>
      </c>
      <c r="S103" s="72">
        <f>0</f>
        <v>0</v>
      </c>
      <c r="T103" s="72">
        <f>0</f>
        <v>0</v>
      </c>
      <c r="U103" s="72">
        <f>0</f>
        <v>0</v>
      </c>
      <c r="V103" s="72">
        <f>0</f>
        <v>0</v>
      </c>
      <c r="W103" s="72">
        <f>0</f>
        <v>0</v>
      </c>
      <c r="X103" s="72">
        <f>0</f>
        <v>0</v>
      </c>
      <c r="Y103" s="72">
        <f>0</f>
        <v>0</v>
      </c>
      <c r="Z103" s="72">
        <f>0</f>
        <v>0</v>
      </c>
      <c r="AA103" s="72">
        <f>0</f>
        <v>0</v>
      </c>
      <c r="AB103" s="72">
        <f>0</f>
        <v>0</v>
      </c>
      <c r="AC103" s="72">
        <f>0</f>
        <v>0</v>
      </c>
      <c r="AD103" s="72">
        <f>0</f>
        <v>0</v>
      </c>
      <c r="AE103" s="72">
        <f>0</f>
        <v>0</v>
      </c>
      <c r="AF103" s="72">
        <f>0</f>
        <v>0</v>
      </c>
      <c r="AG103" s="72">
        <f>0</f>
        <v>0</v>
      </c>
      <c r="AH103" s="72">
        <f>0</f>
        <v>0</v>
      </c>
      <c r="AI103" s="72">
        <f>0</f>
        <v>0</v>
      </c>
      <c r="AJ103" s="72">
        <f>0</f>
        <v>0</v>
      </c>
      <c r="AK103" s="72">
        <f>0</f>
        <v>0</v>
      </c>
      <c r="AL103" s="73">
        <f>0</f>
        <v>0</v>
      </c>
    </row>
    <row r="104" spans="1:38" ht="14.25" outlineLevel="2">
      <c r="A104" s="25" t="s">
        <v>71</v>
      </c>
      <c r="B104" s="65" t="s">
        <v>309</v>
      </c>
      <c r="C104" s="74" t="s">
        <v>310</v>
      </c>
      <c r="D104" s="67" t="s">
        <v>311</v>
      </c>
      <c r="E104" s="68">
        <f>3198776.62</f>
        <v>3198776.62</v>
      </c>
      <c r="F104" s="69">
        <f>2578389.59</f>
        <v>2578389.59</v>
      </c>
      <c r="G104" s="69">
        <f>1698359.13</f>
        <v>1698359.13</v>
      </c>
      <c r="H104" s="70">
        <f>1754980.11</f>
        <v>1754980.11</v>
      </c>
      <c r="I104" s="71">
        <f>1018904.6</f>
        <v>1018904.6</v>
      </c>
      <c r="J104" s="72">
        <f>339450.88</f>
        <v>339450.88</v>
      </c>
      <c r="K104" s="72">
        <f>10985.88</f>
        <v>10985.88</v>
      </c>
      <c r="L104" s="72">
        <f>0</f>
        <v>0</v>
      </c>
      <c r="M104" s="72">
        <f>0</f>
        <v>0</v>
      </c>
      <c r="N104" s="72">
        <f>0</f>
        <v>0</v>
      </c>
      <c r="O104" s="72">
        <f>0</f>
        <v>0</v>
      </c>
      <c r="P104" s="72">
        <f>0</f>
        <v>0</v>
      </c>
      <c r="Q104" s="72">
        <f>0</f>
        <v>0</v>
      </c>
      <c r="R104" s="72">
        <f>0</f>
        <v>0</v>
      </c>
      <c r="S104" s="72">
        <f>0</f>
        <v>0</v>
      </c>
      <c r="T104" s="72">
        <f>0</f>
        <v>0</v>
      </c>
      <c r="U104" s="72">
        <f>0</f>
        <v>0</v>
      </c>
      <c r="V104" s="72">
        <f>0</f>
        <v>0</v>
      </c>
      <c r="W104" s="72">
        <f>0</f>
        <v>0</v>
      </c>
      <c r="X104" s="72">
        <f>0</f>
        <v>0</v>
      </c>
      <c r="Y104" s="72">
        <f>0</f>
        <v>0</v>
      </c>
      <c r="Z104" s="72">
        <f>0</f>
        <v>0</v>
      </c>
      <c r="AA104" s="72">
        <f>0</f>
        <v>0</v>
      </c>
      <c r="AB104" s="72">
        <f>0</f>
        <v>0</v>
      </c>
      <c r="AC104" s="72">
        <f>0</f>
        <v>0</v>
      </c>
      <c r="AD104" s="72">
        <f>0</f>
        <v>0</v>
      </c>
      <c r="AE104" s="72">
        <f>0</f>
        <v>0</v>
      </c>
      <c r="AF104" s="72">
        <f>0</f>
        <v>0</v>
      </c>
      <c r="AG104" s="72">
        <f>0</f>
        <v>0</v>
      </c>
      <c r="AH104" s="72">
        <f>0</f>
        <v>0</v>
      </c>
      <c r="AI104" s="72">
        <f>0</f>
        <v>0</v>
      </c>
      <c r="AJ104" s="72">
        <f>0</f>
        <v>0</v>
      </c>
      <c r="AK104" s="72">
        <f>0</f>
        <v>0</v>
      </c>
      <c r="AL104" s="73">
        <f>0</f>
        <v>0</v>
      </c>
    </row>
    <row r="105" spans="1:38" ht="14.25" outlineLevel="2">
      <c r="A105" s="25" t="s">
        <v>71</v>
      </c>
      <c r="B105" s="65" t="s">
        <v>312</v>
      </c>
      <c r="C105" s="74" t="s">
        <v>313</v>
      </c>
      <c r="D105" s="67" t="s">
        <v>314</v>
      </c>
      <c r="E105" s="68">
        <f>679453</f>
        <v>679453</v>
      </c>
      <c r="F105" s="69">
        <f>820965.42</f>
        <v>820965.42</v>
      </c>
      <c r="G105" s="69">
        <f>880030.46</f>
        <v>880030.46</v>
      </c>
      <c r="H105" s="70">
        <f>823409.48</f>
        <v>823409.48</v>
      </c>
      <c r="I105" s="71">
        <f>1163866.55</f>
        <v>1163866.55</v>
      </c>
      <c r="J105" s="72">
        <f>679453.72</f>
        <v>679453.72</v>
      </c>
      <c r="K105" s="72">
        <f>328465</f>
        <v>328465</v>
      </c>
      <c r="L105" s="72">
        <f>10985.88</f>
        <v>10985.88</v>
      </c>
      <c r="M105" s="72">
        <f>0</f>
        <v>0</v>
      </c>
      <c r="N105" s="72">
        <f>0</f>
        <v>0</v>
      </c>
      <c r="O105" s="72">
        <f>0</f>
        <v>0</v>
      </c>
      <c r="P105" s="72">
        <f>0</f>
        <v>0</v>
      </c>
      <c r="Q105" s="72">
        <f>0</f>
        <v>0</v>
      </c>
      <c r="R105" s="72">
        <f>0</f>
        <v>0</v>
      </c>
      <c r="S105" s="72">
        <f>0</f>
        <v>0</v>
      </c>
      <c r="T105" s="72">
        <f>0</f>
        <v>0</v>
      </c>
      <c r="U105" s="72">
        <f>0</f>
        <v>0</v>
      </c>
      <c r="V105" s="72">
        <f>0</f>
        <v>0</v>
      </c>
      <c r="W105" s="72">
        <f>0</f>
        <v>0</v>
      </c>
      <c r="X105" s="72">
        <f>0</f>
        <v>0</v>
      </c>
      <c r="Y105" s="72">
        <f>0</f>
        <v>0</v>
      </c>
      <c r="Z105" s="72">
        <f>0</f>
        <v>0</v>
      </c>
      <c r="AA105" s="72">
        <f>0</f>
        <v>0</v>
      </c>
      <c r="AB105" s="72">
        <f>0</f>
        <v>0</v>
      </c>
      <c r="AC105" s="72">
        <f>0</f>
        <v>0</v>
      </c>
      <c r="AD105" s="72">
        <f>0</f>
        <v>0</v>
      </c>
      <c r="AE105" s="72">
        <f>0</f>
        <v>0</v>
      </c>
      <c r="AF105" s="72">
        <f>0</f>
        <v>0</v>
      </c>
      <c r="AG105" s="72">
        <f>0</f>
        <v>0</v>
      </c>
      <c r="AH105" s="72">
        <f>0</f>
        <v>0</v>
      </c>
      <c r="AI105" s="72">
        <f>0</f>
        <v>0</v>
      </c>
      <c r="AJ105" s="72">
        <f>0</f>
        <v>0</v>
      </c>
      <c r="AK105" s="72">
        <f>0</f>
        <v>0</v>
      </c>
      <c r="AL105" s="73">
        <f>0</f>
        <v>0</v>
      </c>
    </row>
    <row r="106" spans="1:38" ht="14.25" outlineLevel="3">
      <c r="A106" s="25" t="s">
        <v>71</v>
      </c>
      <c r="B106" s="65" t="s">
        <v>315</v>
      </c>
      <c r="C106" s="74" t="s">
        <v>316</v>
      </c>
      <c r="D106" s="75" t="s">
        <v>317</v>
      </c>
      <c r="E106" s="68">
        <f>0</f>
        <v>0</v>
      </c>
      <c r="F106" s="69">
        <f>141512.21</f>
        <v>141512.21</v>
      </c>
      <c r="G106" s="69">
        <f>0</f>
        <v>0</v>
      </c>
      <c r="H106" s="70">
        <f>0</f>
        <v>0</v>
      </c>
      <c r="I106" s="71">
        <f>427786.16</f>
        <v>427786.16</v>
      </c>
      <c r="J106" s="72">
        <f>0</f>
        <v>0</v>
      </c>
      <c r="K106" s="72">
        <f>0</f>
        <v>0</v>
      </c>
      <c r="L106" s="72">
        <f>0</f>
        <v>0</v>
      </c>
      <c r="M106" s="72">
        <f>0</f>
        <v>0</v>
      </c>
      <c r="N106" s="72">
        <f>0</f>
        <v>0</v>
      </c>
      <c r="O106" s="72">
        <f>0</f>
        <v>0</v>
      </c>
      <c r="P106" s="72">
        <f>0</f>
        <v>0</v>
      </c>
      <c r="Q106" s="72">
        <f>0</f>
        <v>0</v>
      </c>
      <c r="R106" s="72">
        <f>0</f>
        <v>0</v>
      </c>
      <c r="S106" s="72">
        <f>0</f>
        <v>0</v>
      </c>
      <c r="T106" s="72">
        <f>0</f>
        <v>0</v>
      </c>
      <c r="U106" s="72">
        <f>0</f>
        <v>0</v>
      </c>
      <c r="V106" s="72">
        <f>0</f>
        <v>0</v>
      </c>
      <c r="W106" s="72">
        <f>0</f>
        <v>0</v>
      </c>
      <c r="X106" s="72">
        <f>0</f>
        <v>0</v>
      </c>
      <c r="Y106" s="72">
        <f>0</f>
        <v>0</v>
      </c>
      <c r="Z106" s="72">
        <f>0</f>
        <v>0</v>
      </c>
      <c r="AA106" s="72">
        <f>0</f>
        <v>0</v>
      </c>
      <c r="AB106" s="72">
        <f>0</f>
        <v>0</v>
      </c>
      <c r="AC106" s="72">
        <f>0</f>
        <v>0</v>
      </c>
      <c r="AD106" s="72">
        <f>0</f>
        <v>0</v>
      </c>
      <c r="AE106" s="72">
        <f>0</f>
        <v>0</v>
      </c>
      <c r="AF106" s="72">
        <f>0</f>
        <v>0</v>
      </c>
      <c r="AG106" s="72">
        <f>0</f>
        <v>0</v>
      </c>
      <c r="AH106" s="72">
        <f>0</f>
        <v>0</v>
      </c>
      <c r="AI106" s="72">
        <f>0</f>
        <v>0</v>
      </c>
      <c r="AJ106" s="72">
        <f>0</f>
        <v>0</v>
      </c>
      <c r="AK106" s="72">
        <f>0</f>
        <v>0</v>
      </c>
      <c r="AL106" s="73">
        <f>0</f>
        <v>0</v>
      </c>
    </row>
    <row r="107" spans="1:38" ht="24" outlineLevel="3">
      <c r="A107" s="25" t="s">
        <v>71</v>
      </c>
      <c r="B107" s="65" t="s">
        <v>318</v>
      </c>
      <c r="C107" s="74" t="s">
        <v>319</v>
      </c>
      <c r="D107" s="75" t="s">
        <v>320</v>
      </c>
      <c r="E107" s="68">
        <f>679453</f>
        <v>679453</v>
      </c>
      <c r="F107" s="69">
        <f>679453.2</f>
        <v>679453.2</v>
      </c>
      <c r="G107" s="69">
        <f>880030.46</f>
        <v>880030.46</v>
      </c>
      <c r="H107" s="70">
        <f>823409.48</f>
        <v>823409.48</v>
      </c>
      <c r="I107" s="71">
        <f>736080.39</f>
        <v>736080.39</v>
      </c>
      <c r="J107" s="72">
        <f>679453.72</f>
        <v>679453.72</v>
      </c>
      <c r="K107" s="72">
        <f>328465</f>
        <v>328465</v>
      </c>
      <c r="L107" s="72">
        <f>10985.88</f>
        <v>10985.88</v>
      </c>
      <c r="M107" s="72">
        <f>0</f>
        <v>0</v>
      </c>
      <c r="N107" s="72">
        <f>0</f>
        <v>0</v>
      </c>
      <c r="O107" s="72">
        <f>0</f>
        <v>0</v>
      </c>
      <c r="P107" s="72">
        <f>0</f>
        <v>0</v>
      </c>
      <c r="Q107" s="72">
        <f>0</f>
        <v>0</v>
      </c>
      <c r="R107" s="72">
        <f>0</f>
        <v>0</v>
      </c>
      <c r="S107" s="72">
        <f>0</f>
        <v>0</v>
      </c>
      <c r="T107" s="72">
        <f>0</f>
        <v>0</v>
      </c>
      <c r="U107" s="72">
        <f>0</f>
        <v>0</v>
      </c>
      <c r="V107" s="72">
        <f>0</f>
        <v>0</v>
      </c>
      <c r="W107" s="72">
        <f>0</f>
        <v>0</v>
      </c>
      <c r="X107" s="72">
        <f>0</f>
        <v>0</v>
      </c>
      <c r="Y107" s="72">
        <f>0</f>
        <v>0</v>
      </c>
      <c r="Z107" s="72">
        <f>0</f>
        <v>0</v>
      </c>
      <c r="AA107" s="72">
        <f>0</f>
        <v>0</v>
      </c>
      <c r="AB107" s="72">
        <f>0</f>
        <v>0</v>
      </c>
      <c r="AC107" s="72">
        <f>0</f>
        <v>0</v>
      </c>
      <c r="AD107" s="72">
        <f>0</f>
        <v>0</v>
      </c>
      <c r="AE107" s="72">
        <f>0</f>
        <v>0</v>
      </c>
      <c r="AF107" s="72">
        <f>0</f>
        <v>0</v>
      </c>
      <c r="AG107" s="72">
        <f>0</f>
        <v>0</v>
      </c>
      <c r="AH107" s="72">
        <f>0</f>
        <v>0</v>
      </c>
      <c r="AI107" s="72">
        <f>0</f>
        <v>0</v>
      </c>
      <c r="AJ107" s="72">
        <f>0</f>
        <v>0</v>
      </c>
      <c r="AK107" s="72">
        <f>0</f>
        <v>0</v>
      </c>
      <c r="AL107" s="73">
        <f>0</f>
        <v>0</v>
      </c>
    </row>
    <row r="108" spans="1:38" ht="14.25" outlineLevel="3">
      <c r="A108" s="25" t="s">
        <v>71</v>
      </c>
      <c r="B108" s="65" t="s">
        <v>321</v>
      </c>
      <c r="C108" s="74" t="s">
        <v>322</v>
      </c>
      <c r="D108" s="75" t="s">
        <v>323</v>
      </c>
      <c r="E108" s="68">
        <f>0</f>
        <v>0</v>
      </c>
      <c r="F108" s="69">
        <f>0</f>
        <v>0</v>
      </c>
      <c r="G108" s="69">
        <f>0</f>
        <v>0</v>
      </c>
      <c r="H108" s="70">
        <f>0</f>
        <v>0</v>
      </c>
      <c r="I108" s="71">
        <f>0</f>
        <v>0</v>
      </c>
      <c r="J108" s="72">
        <f>0</f>
        <v>0</v>
      </c>
      <c r="K108" s="72">
        <f>0</f>
        <v>0</v>
      </c>
      <c r="L108" s="72">
        <f>0</f>
        <v>0</v>
      </c>
      <c r="M108" s="72">
        <f>0</f>
        <v>0</v>
      </c>
      <c r="N108" s="72">
        <f>0</f>
        <v>0</v>
      </c>
      <c r="O108" s="72">
        <f>0</f>
        <v>0</v>
      </c>
      <c r="P108" s="72">
        <f>0</f>
        <v>0</v>
      </c>
      <c r="Q108" s="72">
        <f>0</f>
        <v>0</v>
      </c>
      <c r="R108" s="72">
        <f>0</f>
        <v>0</v>
      </c>
      <c r="S108" s="72">
        <f>0</f>
        <v>0</v>
      </c>
      <c r="T108" s="72">
        <f>0</f>
        <v>0</v>
      </c>
      <c r="U108" s="72">
        <f>0</f>
        <v>0</v>
      </c>
      <c r="V108" s="72">
        <f>0</f>
        <v>0</v>
      </c>
      <c r="W108" s="72">
        <f>0</f>
        <v>0</v>
      </c>
      <c r="X108" s="72">
        <f>0</f>
        <v>0</v>
      </c>
      <c r="Y108" s="72">
        <f>0</f>
        <v>0</v>
      </c>
      <c r="Z108" s="72">
        <f>0</f>
        <v>0</v>
      </c>
      <c r="AA108" s="72">
        <f>0</f>
        <v>0</v>
      </c>
      <c r="AB108" s="72">
        <f>0</f>
        <v>0</v>
      </c>
      <c r="AC108" s="72">
        <f>0</f>
        <v>0</v>
      </c>
      <c r="AD108" s="72">
        <f>0</f>
        <v>0</v>
      </c>
      <c r="AE108" s="72">
        <f>0</f>
        <v>0</v>
      </c>
      <c r="AF108" s="72">
        <f>0</f>
        <v>0</v>
      </c>
      <c r="AG108" s="72">
        <f>0</f>
        <v>0</v>
      </c>
      <c r="AH108" s="72">
        <f>0</f>
        <v>0</v>
      </c>
      <c r="AI108" s="72">
        <f>0</f>
        <v>0</v>
      </c>
      <c r="AJ108" s="72">
        <f>0</f>
        <v>0</v>
      </c>
      <c r="AK108" s="72">
        <f>0</f>
        <v>0</v>
      </c>
      <c r="AL108" s="73">
        <f>0</f>
        <v>0</v>
      </c>
    </row>
    <row r="109" spans="1:38" ht="24" outlineLevel="2">
      <c r="A109" s="25" t="s">
        <v>71</v>
      </c>
      <c r="B109" s="98" t="s">
        <v>324</v>
      </c>
      <c r="C109" s="99" t="s">
        <v>325</v>
      </c>
      <c r="D109" s="100" t="s">
        <v>326</v>
      </c>
      <c r="E109" s="101">
        <f>0</f>
        <v>0</v>
      </c>
      <c r="F109" s="102">
        <f>0</f>
        <v>0</v>
      </c>
      <c r="G109" s="102">
        <f>0</f>
        <v>0</v>
      </c>
      <c r="H109" s="103">
        <f>0</f>
        <v>0</v>
      </c>
      <c r="I109" s="104">
        <f>0</f>
        <v>0</v>
      </c>
      <c r="J109" s="105">
        <f>0</f>
        <v>0</v>
      </c>
      <c r="K109" s="105">
        <f>0</f>
        <v>0</v>
      </c>
      <c r="L109" s="105">
        <f>0</f>
        <v>0</v>
      </c>
      <c r="M109" s="105">
        <f>0</f>
        <v>0</v>
      </c>
      <c r="N109" s="105">
        <f>0</f>
        <v>0</v>
      </c>
      <c r="O109" s="105">
        <f>0</f>
        <v>0</v>
      </c>
      <c r="P109" s="105">
        <f>0</f>
        <v>0</v>
      </c>
      <c r="Q109" s="105">
        <f>0</f>
        <v>0</v>
      </c>
      <c r="R109" s="105">
        <f>0</f>
        <v>0</v>
      </c>
      <c r="S109" s="105">
        <f>0</f>
        <v>0</v>
      </c>
      <c r="T109" s="105">
        <f>0</f>
        <v>0</v>
      </c>
      <c r="U109" s="105">
        <f>0</f>
        <v>0</v>
      </c>
      <c r="V109" s="105">
        <f>0</f>
        <v>0</v>
      </c>
      <c r="W109" s="105">
        <f>0</f>
        <v>0</v>
      </c>
      <c r="X109" s="105">
        <f>0</f>
        <v>0</v>
      </c>
      <c r="Y109" s="105">
        <f>0</f>
        <v>0</v>
      </c>
      <c r="Z109" s="105">
        <f>0</f>
        <v>0</v>
      </c>
      <c r="AA109" s="105">
        <f>0</f>
        <v>0</v>
      </c>
      <c r="AB109" s="105">
        <f>0</f>
        <v>0</v>
      </c>
      <c r="AC109" s="105">
        <f>0</f>
        <v>0</v>
      </c>
      <c r="AD109" s="105">
        <f>0</f>
        <v>0</v>
      </c>
      <c r="AE109" s="105">
        <f>0</f>
        <v>0</v>
      </c>
      <c r="AF109" s="105">
        <f>0</f>
        <v>0</v>
      </c>
      <c r="AG109" s="105">
        <f>0</f>
        <v>0</v>
      </c>
      <c r="AH109" s="105">
        <f>0</f>
        <v>0</v>
      </c>
      <c r="AI109" s="105">
        <f>0</f>
        <v>0</v>
      </c>
      <c r="AJ109" s="105">
        <f>0</f>
        <v>0</v>
      </c>
      <c r="AK109" s="105">
        <f>0</f>
        <v>0</v>
      </c>
      <c r="AL109" s="106">
        <f>0</f>
        <v>0</v>
      </c>
    </row>
    <row r="110" spans="2:38" ht="14.25" outlineLevel="1" collapsed="1">
      <c r="B110" s="107">
        <v>15</v>
      </c>
      <c r="C110" s="108" t="s">
        <v>327</v>
      </c>
      <c r="D110" s="109" t="s">
        <v>327</v>
      </c>
      <c r="E110" s="110" t="s">
        <v>71</v>
      </c>
      <c r="F110" s="111" t="s">
        <v>71</v>
      </c>
      <c r="G110" s="111" t="s">
        <v>71</v>
      </c>
      <c r="H110" s="112" t="s">
        <v>71</v>
      </c>
      <c r="I110" s="113" t="s">
        <v>71</v>
      </c>
      <c r="J110" s="114" t="s">
        <v>71</v>
      </c>
      <c r="K110" s="114" t="s">
        <v>71</v>
      </c>
      <c r="L110" s="114" t="s">
        <v>71</v>
      </c>
      <c r="M110" s="114" t="s">
        <v>71</v>
      </c>
      <c r="N110" s="114" t="s">
        <v>71</v>
      </c>
      <c r="O110" s="114" t="s">
        <v>71</v>
      </c>
      <c r="P110" s="114" t="s">
        <v>71</v>
      </c>
      <c r="Q110" s="114" t="s">
        <v>71</v>
      </c>
      <c r="R110" s="114" t="s">
        <v>71</v>
      </c>
      <c r="S110" s="114" t="s">
        <v>71</v>
      </c>
      <c r="T110" s="114" t="s">
        <v>71</v>
      </c>
      <c r="U110" s="114" t="s">
        <v>71</v>
      </c>
      <c r="V110" s="114" t="s">
        <v>71</v>
      </c>
      <c r="W110" s="114" t="s">
        <v>71</v>
      </c>
      <c r="X110" s="114" t="s">
        <v>71</v>
      </c>
      <c r="Y110" s="114" t="s">
        <v>71</v>
      </c>
      <c r="Z110" s="114" t="s">
        <v>71</v>
      </c>
      <c r="AA110" s="114" t="s">
        <v>71</v>
      </c>
      <c r="AB110" s="114" t="s">
        <v>71</v>
      </c>
      <c r="AC110" s="114" t="s">
        <v>71</v>
      </c>
      <c r="AD110" s="114" t="s">
        <v>71</v>
      </c>
      <c r="AE110" s="114" t="s">
        <v>71</v>
      </c>
      <c r="AF110" s="114" t="s">
        <v>71</v>
      </c>
      <c r="AG110" s="114" t="s">
        <v>71</v>
      </c>
      <c r="AH110" s="114" t="s">
        <v>71</v>
      </c>
      <c r="AI110" s="114" t="s">
        <v>71</v>
      </c>
      <c r="AJ110" s="114" t="s">
        <v>71</v>
      </c>
      <c r="AK110" s="114" t="s">
        <v>71</v>
      </c>
      <c r="AL110" s="115" t="s">
        <v>71</v>
      </c>
    </row>
    <row r="111" spans="2:38" ht="14.25" hidden="1" outlineLevel="2">
      <c r="B111" s="116" t="s">
        <v>328</v>
      </c>
      <c r="C111" s="117" t="s">
        <v>329</v>
      </c>
      <c r="D111" s="118" t="s">
        <v>330</v>
      </c>
      <c r="E111" s="119">
        <f>0</f>
        <v>0</v>
      </c>
      <c r="F111" s="120">
        <f>0</f>
        <v>0</v>
      </c>
      <c r="G111" s="120">
        <f>0</f>
        <v>0</v>
      </c>
      <c r="H111" s="121">
        <f>0</f>
        <v>0</v>
      </c>
      <c r="I111" s="122">
        <f>0</f>
        <v>0</v>
      </c>
      <c r="J111" s="123">
        <f>0</f>
        <v>0</v>
      </c>
      <c r="K111" s="123">
        <f>0</f>
        <v>0</v>
      </c>
      <c r="L111" s="123">
        <f>0</f>
        <v>0</v>
      </c>
      <c r="M111" s="123">
        <f>0</f>
        <v>0</v>
      </c>
      <c r="N111" s="123">
        <f>0</f>
        <v>0</v>
      </c>
      <c r="O111" s="123">
        <f>0</f>
        <v>0</v>
      </c>
      <c r="P111" s="123">
        <f>0</f>
        <v>0</v>
      </c>
      <c r="Q111" s="123">
        <f>0</f>
        <v>0</v>
      </c>
      <c r="R111" s="123">
        <f>0</f>
        <v>0</v>
      </c>
      <c r="S111" s="123">
        <f>0</f>
        <v>0</v>
      </c>
      <c r="T111" s="123">
        <f>0</f>
        <v>0</v>
      </c>
      <c r="U111" s="123">
        <f>0</f>
        <v>0</v>
      </c>
      <c r="V111" s="123">
        <f>0</f>
        <v>0</v>
      </c>
      <c r="W111" s="123">
        <f>0</f>
        <v>0</v>
      </c>
      <c r="X111" s="123">
        <f>0</f>
        <v>0</v>
      </c>
      <c r="Y111" s="123">
        <f>0</f>
        <v>0</v>
      </c>
      <c r="Z111" s="123">
        <f>0</f>
        <v>0</v>
      </c>
      <c r="AA111" s="123">
        <f>0</f>
        <v>0</v>
      </c>
      <c r="AB111" s="123">
        <f>0</f>
        <v>0</v>
      </c>
      <c r="AC111" s="123">
        <f>0</f>
        <v>0</v>
      </c>
      <c r="AD111" s="123">
        <f>0</f>
        <v>0</v>
      </c>
      <c r="AE111" s="123">
        <f>0</f>
        <v>0</v>
      </c>
      <c r="AF111" s="123">
        <f>0</f>
        <v>0</v>
      </c>
      <c r="AG111" s="123">
        <f>0</f>
        <v>0</v>
      </c>
      <c r="AH111" s="123">
        <f>0</f>
        <v>0</v>
      </c>
      <c r="AI111" s="123">
        <f>0</f>
        <v>0</v>
      </c>
      <c r="AJ111" s="123">
        <f>0</f>
        <v>0</v>
      </c>
      <c r="AK111" s="123">
        <f>0</f>
        <v>0</v>
      </c>
      <c r="AL111" s="124">
        <f>0</f>
        <v>0</v>
      </c>
    </row>
    <row r="112" spans="1:38" ht="14.25" hidden="1" outlineLevel="3">
      <c r="A112" s="25" t="s">
        <v>71</v>
      </c>
      <c r="B112" s="65" t="s">
        <v>331</v>
      </c>
      <c r="C112" s="74" t="s">
        <v>332</v>
      </c>
      <c r="D112" s="75" t="s">
        <v>333</v>
      </c>
      <c r="E112" s="68">
        <f>0</f>
        <v>0</v>
      </c>
      <c r="F112" s="69">
        <f>0</f>
        <v>0</v>
      </c>
      <c r="G112" s="69">
        <f>0</f>
        <v>0</v>
      </c>
      <c r="H112" s="70">
        <f>0</f>
        <v>0</v>
      </c>
      <c r="I112" s="71">
        <f>0</f>
        <v>0</v>
      </c>
      <c r="J112" s="72">
        <f>0</f>
        <v>0</v>
      </c>
      <c r="K112" s="72">
        <f>0</f>
        <v>0</v>
      </c>
      <c r="L112" s="72">
        <f>0</f>
        <v>0</v>
      </c>
      <c r="M112" s="72">
        <f>0</f>
        <v>0</v>
      </c>
      <c r="N112" s="72">
        <f>0</f>
        <v>0</v>
      </c>
      <c r="O112" s="72">
        <f>0</f>
        <v>0</v>
      </c>
      <c r="P112" s="72">
        <f>0</f>
        <v>0</v>
      </c>
      <c r="Q112" s="72">
        <f>0</f>
        <v>0</v>
      </c>
      <c r="R112" s="72">
        <f>0</f>
        <v>0</v>
      </c>
      <c r="S112" s="72">
        <f>0</f>
        <v>0</v>
      </c>
      <c r="T112" s="72">
        <f>0</f>
        <v>0</v>
      </c>
      <c r="U112" s="72">
        <f>0</f>
        <v>0</v>
      </c>
      <c r="V112" s="72">
        <f>0</f>
        <v>0</v>
      </c>
      <c r="W112" s="72">
        <f>0</f>
        <v>0</v>
      </c>
      <c r="X112" s="72">
        <f>0</f>
        <v>0</v>
      </c>
      <c r="Y112" s="72">
        <f>0</f>
        <v>0</v>
      </c>
      <c r="Z112" s="72">
        <f>0</f>
        <v>0</v>
      </c>
      <c r="AA112" s="72">
        <f>0</f>
        <v>0</v>
      </c>
      <c r="AB112" s="72">
        <f>0</f>
        <v>0</v>
      </c>
      <c r="AC112" s="72">
        <f>0</f>
        <v>0</v>
      </c>
      <c r="AD112" s="72">
        <f>0</f>
        <v>0</v>
      </c>
      <c r="AE112" s="72">
        <f>0</f>
        <v>0</v>
      </c>
      <c r="AF112" s="72">
        <f>0</f>
        <v>0</v>
      </c>
      <c r="AG112" s="72">
        <f>0</f>
        <v>0</v>
      </c>
      <c r="AH112" s="72">
        <f>0</f>
        <v>0</v>
      </c>
      <c r="AI112" s="72">
        <f>0</f>
        <v>0</v>
      </c>
      <c r="AJ112" s="72">
        <f>0</f>
        <v>0</v>
      </c>
      <c r="AK112" s="72">
        <f>0</f>
        <v>0</v>
      </c>
      <c r="AL112" s="73">
        <f>0</f>
        <v>0</v>
      </c>
    </row>
    <row r="113" spans="1:38" ht="24" hidden="1" outlineLevel="2">
      <c r="A113" s="25" t="s">
        <v>71</v>
      </c>
      <c r="B113" s="98" t="s">
        <v>334</v>
      </c>
      <c r="C113" s="99" t="s">
        <v>335</v>
      </c>
      <c r="D113" s="100" t="s">
        <v>335</v>
      </c>
      <c r="E113" s="101">
        <f>0</f>
        <v>0</v>
      </c>
      <c r="F113" s="102">
        <f>0</f>
        <v>0</v>
      </c>
      <c r="G113" s="102">
        <f>0</f>
        <v>0</v>
      </c>
      <c r="H113" s="103">
        <f>0</f>
        <v>0</v>
      </c>
      <c r="I113" s="104">
        <f>0</f>
        <v>0</v>
      </c>
      <c r="J113" s="105">
        <f>0</f>
        <v>0</v>
      </c>
      <c r="K113" s="105">
        <f>0</f>
        <v>0</v>
      </c>
      <c r="L113" s="105">
        <f>0</f>
        <v>0</v>
      </c>
      <c r="M113" s="105">
        <f>0</f>
        <v>0</v>
      </c>
      <c r="N113" s="105">
        <f>0</f>
        <v>0</v>
      </c>
      <c r="O113" s="105">
        <f>0</f>
        <v>0</v>
      </c>
      <c r="P113" s="105">
        <f>0</f>
        <v>0</v>
      </c>
      <c r="Q113" s="105">
        <f>0</f>
        <v>0</v>
      </c>
      <c r="R113" s="105">
        <f>0</f>
        <v>0</v>
      </c>
      <c r="S113" s="105">
        <f>0</f>
        <v>0</v>
      </c>
      <c r="T113" s="105">
        <f>0</f>
        <v>0</v>
      </c>
      <c r="U113" s="105">
        <f>0</f>
        <v>0</v>
      </c>
      <c r="V113" s="105">
        <f>0</f>
        <v>0</v>
      </c>
      <c r="W113" s="105">
        <f>0</f>
        <v>0</v>
      </c>
      <c r="X113" s="105">
        <f>0</f>
        <v>0</v>
      </c>
      <c r="Y113" s="105">
        <f>0</f>
        <v>0</v>
      </c>
      <c r="Z113" s="105">
        <f>0</f>
        <v>0</v>
      </c>
      <c r="AA113" s="105">
        <f>0</f>
        <v>0</v>
      </c>
      <c r="AB113" s="105">
        <f>0</f>
        <v>0</v>
      </c>
      <c r="AC113" s="105">
        <f>0</f>
        <v>0</v>
      </c>
      <c r="AD113" s="105">
        <f>0</f>
        <v>0</v>
      </c>
      <c r="AE113" s="105">
        <f>0</f>
        <v>0</v>
      </c>
      <c r="AF113" s="105">
        <f>0</f>
        <v>0</v>
      </c>
      <c r="AG113" s="105">
        <f>0</f>
        <v>0</v>
      </c>
      <c r="AH113" s="105">
        <f>0</f>
        <v>0</v>
      </c>
      <c r="AI113" s="105">
        <f>0</f>
        <v>0</v>
      </c>
      <c r="AJ113" s="105">
        <f>0</f>
        <v>0</v>
      </c>
      <c r="AK113" s="105">
        <f>0</f>
        <v>0</v>
      </c>
      <c r="AL113" s="106">
        <f>0</f>
        <v>0</v>
      </c>
    </row>
    <row r="114" spans="1:38" ht="24" outlineLevel="1" collapsed="1">
      <c r="A114" s="125"/>
      <c r="B114" s="126">
        <v>16</v>
      </c>
      <c r="C114" s="127"/>
      <c r="D114" s="128" t="s">
        <v>336</v>
      </c>
      <c r="E114" s="110" t="s">
        <v>71</v>
      </c>
      <c r="F114" s="111" t="s">
        <v>71</v>
      </c>
      <c r="G114" s="111" t="s">
        <v>71</v>
      </c>
      <c r="H114" s="112" t="s">
        <v>71</v>
      </c>
      <c r="I114" s="113" t="s">
        <v>71</v>
      </c>
      <c r="J114" s="113" t="s">
        <v>71</v>
      </c>
      <c r="K114" s="113" t="s">
        <v>71</v>
      </c>
      <c r="L114" s="113" t="s">
        <v>71</v>
      </c>
      <c r="M114" s="113" t="s">
        <v>71</v>
      </c>
      <c r="N114" s="113" t="s">
        <v>71</v>
      </c>
      <c r="O114" s="113" t="s">
        <v>71</v>
      </c>
      <c r="P114" s="113" t="s">
        <v>71</v>
      </c>
      <c r="Q114" s="113" t="s">
        <v>71</v>
      </c>
      <c r="R114" s="113" t="s">
        <v>71</v>
      </c>
      <c r="S114" s="113" t="s">
        <v>71</v>
      </c>
      <c r="T114" s="113" t="s">
        <v>71</v>
      </c>
      <c r="U114" s="113" t="s">
        <v>71</v>
      </c>
      <c r="V114" s="113" t="s">
        <v>71</v>
      </c>
      <c r="W114" s="113" t="s">
        <v>71</v>
      </c>
      <c r="X114" s="113" t="s">
        <v>71</v>
      </c>
      <c r="Y114" s="113" t="s">
        <v>71</v>
      </c>
      <c r="Z114" s="113" t="s">
        <v>71</v>
      </c>
      <c r="AA114" s="113" t="s">
        <v>71</v>
      </c>
      <c r="AB114" s="113" t="s">
        <v>71</v>
      </c>
      <c r="AC114" s="113" t="s">
        <v>71</v>
      </c>
      <c r="AD114" s="113" t="s">
        <v>71</v>
      </c>
      <c r="AE114" s="113" t="s">
        <v>71</v>
      </c>
      <c r="AF114" s="113" t="s">
        <v>71</v>
      </c>
      <c r="AG114" s="113" t="s">
        <v>71</v>
      </c>
      <c r="AH114" s="113" t="s">
        <v>71</v>
      </c>
      <c r="AI114" s="113" t="s">
        <v>71</v>
      </c>
      <c r="AJ114" s="113" t="s">
        <v>71</v>
      </c>
      <c r="AK114" s="113" t="s">
        <v>71</v>
      </c>
      <c r="AL114" s="129" t="s">
        <v>71</v>
      </c>
    </row>
    <row r="115" spans="2:38" ht="24" hidden="1" outlineLevel="2">
      <c r="B115" s="130" t="s">
        <v>337</v>
      </c>
      <c r="C115" s="131"/>
      <c r="D115" s="132" t="s">
        <v>338</v>
      </c>
      <c r="E115" s="133" t="s">
        <v>71</v>
      </c>
      <c r="F115" s="134" t="s">
        <v>71</v>
      </c>
      <c r="G115" s="134" t="s">
        <v>71</v>
      </c>
      <c r="H115" s="135" t="s">
        <v>71</v>
      </c>
      <c r="I115" s="122">
        <f>+IF(I51&lt;0,I51,"")</f>
      </c>
      <c r="J115" s="122">
        <f aca="true" t="shared" si="6" ref="J115:AL115">+IF(J51&lt;0,J51,"")</f>
      </c>
      <c r="K115" s="122">
        <f t="shared" si="6"/>
      </c>
      <c r="L115" s="122">
        <f t="shared" si="6"/>
      </c>
      <c r="M115" s="122">
        <f t="shared" si="6"/>
      </c>
      <c r="N115" s="122">
        <f t="shared" si="6"/>
      </c>
      <c r="O115" s="122">
        <f t="shared" si="6"/>
      </c>
      <c r="P115" s="122">
        <f t="shared" si="6"/>
      </c>
      <c r="Q115" s="122">
        <f t="shared" si="6"/>
      </c>
      <c r="R115" s="122">
        <f t="shared" si="6"/>
      </c>
      <c r="S115" s="122">
        <f t="shared" si="6"/>
      </c>
      <c r="T115" s="122">
        <f t="shared" si="6"/>
      </c>
      <c r="U115" s="122">
        <f t="shared" si="6"/>
      </c>
      <c r="V115" s="122">
        <f t="shared" si="6"/>
      </c>
      <c r="W115" s="122">
        <f t="shared" si="6"/>
      </c>
      <c r="X115" s="122">
        <f t="shared" si="6"/>
      </c>
      <c r="Y115" s="122">
        <f t="shared" si="6"/>
      </c>
      <c r="Z115" s="122">
        <f t="shared" si="6"/>
      </c>
      <c r="AA115" s="122">
        <f t="shared" si="6"/>
      </c>
      <c r="AB115" s="122">
        <f t="shared" si="6"/>
      </c>
      <c r="AC115" s="122">
        <f t="shared" si="6"/>
      </c>
      <c r="AD115" s="122">
        <f t="shared" si="6"/>
      </c>
      <c r="AE115" s="122">
        <f t="shared" si="6"/>
      </c>
      <c r="AF115" s="122">
        <f t="shared" si="6"/>
      </c>
      <c r="AG115" s="122">
        <f t="shared" si="6"/>
      </c>
      <c r="AH115" s="122">
        <f t="shared" si="6"/>
      </c>
      <c r="AI115" s="122">
        <f t="shared" si="6"/>
      </c>
      <c r="AJ115" s="122">
        <f t="shared" si="6"/>
      </c>
      <c r="AK115" s="122">
        <f t="shared" si="6"/>
      </c>
      <c r="AL115" s="136">
        <f t="shared" si="6"/>
      </c>
    </row>
    <row r="116" spans="1:38" ht="14.25" hidden="1" outlineLevel="2">
      <c r="A116" s="25" t="s">
        <v>71</v>
      </c>
      <c r="B116" s="137" t="s">
        <v>339</v>
      </c>
      <c r="C116" s="131"/>
      <c r="D116" s="138" t="s">
        <v>340</v>
      </c>
      <c r="E116" s="139" t="s">
        <v>71</v>
      </c>
      <c r="F116" s="140" t="s">
        <v>71</v>
      </c>
      <c r="G116" s="140" t="s">
        <v>71</v>
      </c>
      <c r="H116" s="141" t="s">
        <v>71</v>
      </c>
      <c r="I116" s="142">
        <f>IF(I56&lt;=I58,"",I58-I56)</f>
      </c>
      <c r="J116" s="142">
        <f aca="true" t="shared" si="7" ref="J116:AL116">IF(J56&lt;=J58,"",J58-J56)</f>
      </c>
      <c r="K116" s="142">
        <f t="shared" si="7"/>
      </c>
      <c r="L116" s="142">
        <f t="shared" si="7"/>
      </c>
      <c r="M116" s="142">
        <f t="shared" si="7"/>
      </c>
      <c r="N116" s="142">
        <f t="shared" si="7"/>
      </c>
      <c r="O116" s="142">
        <f t="shared" si="7"/>
      </c>
      <c r="P116" s="142">
        <f t="shared" si="7"/>
      </c>
      <c r="Q116" s="142">
        <f t="shared" si="7"/>
      </c>
      <c r="R116" s="142">
        <f t="shared" si="7"/>
      </c>
      <c r="S116" s="142">
        <f t="shared" si="7"/>
      </c>
      <c r="T116" s="142">
        <f t="shared" si="7"/>
      </c>
      <c r="U116" s="142">
        <f t="shared" si="7"/>
      </c>
      <c r="V116" s="142">
        <f t="shared" si="7"/>
      </c>
      <c r="W116" s="142">
        <f t="shared" si="7"/>
      </c>
      <c r="X116" s="142">
        <f t="shared" si="7"/>
      </c>
      <c r="Y116" s="142">
        <f t="shared" si="7"/>
      </c>
      <c r="Z116" s="142">
        <f t="shared" si="7"/>
      </c>
      <c r="AA116" s="142">
        <f t="shared" si="7"/>
      </c>
      <c r="AB116" s="142">
        <f t="shared" si="7"/>
      </c>
      <c r="AC116" s="142">
        <f t="shared" si="7"/>
      </c>
      <c r="AD116" s="142">
        <f t="shared" si="7"/>
      </c>
      <c r="AE116" s="142">
        <f t="shared" si="7"/>
      </c>
      <c r="AF116" s="142">
        <f t="shared" si="7"/>
      </c>
      <c r="AG116" s="142">
        <f t="shared" si="7"/>
      </c>
      <c r="AH116" s="142">
        <f t="shared" si="7"/>
      </c>
      <c r="AI116" s="142">
        <f t="shared" si="7"/>
      </c>
      <c r="AJ116" s="142">
        <f t="shared" si="7"/>
      </c>
      <c r="AK116" s="142">
        <f t="shared" si="7"/>
      </c>
      <c r="AL116" s="143">
        <f t="shared" si="7"/>
      </c>
    </row>
    <row r="117" spans="1:38" ht="14.25" hidden="1" outlineLevel="2">
      <c r="A117" s="25" t="s">
        <v>71</v>
      </c>
      <c r="B117" s="144" t="s">
        <v>341</v>
      </c>
      <c r="C117" s="145"/>
      <c r="D117" s="146" t="s">
        <v>342</v>
      </c>
      <c r="E117" s="147" t="s">
        <v>71</v>
      </c>
      <c r="F117" s="148" t="s">
        <v>71</v>
      </c>
      <c r="G117" s="148" t="s">
        <v>71</v>
      </c>
      <c r="H117" s="149" t="s">
        <v>71</v>
      </c>
      <c r="I117" s="150">
        <f>IF(I56&lt;=I59,"",I59-I56)</f>
      </c>
      <c r="J117" s="150">
        <f aca="true" t="shared" si="8" ref="J117:AL117">IF(J56&lt;=J59,"",J59-J56)</f>
      </c>
      <c r="K117" s="150">
        <f t="shared" si="8"/>
      </c>
      <c r="L117" s="150">
        <f t="shared" si="8"/>
      </c>
      <c r="M117" s="150">
        <f t="shared" si="8"/>
      </c>
      <c r="N117" s="150">
        <f t="shared" si="8"/>
      </c>
      <c r="O117" s="150">
        <f t="shared" si="8"/>
      </c>
      <c r="P117" s="150">
        <f t="shared" si="8"/>
      </c>
      <c r="Q117" s="150">
        <f t="shared" si="8"/>
      </c>
      <c r="R117" s="150">
        <f t="shared" si="8"/>
      </c>
      <c r="S117" s="150">
        <f t="shared" si="8"/>
      </c>
      <c r="T117" s="150">
        <f t="shared" si="8"/>
      </c>
      <c r="U117" s="150">
        <f t="shared" si="8"/>
      </c>
      <c r="V117" s="150">
        <f t="shared" si="8"/>
      </c>
      <c r="W117" s="150">
        <f t="shared" si="8"/>
      </c>
      <c r="X117" s="150">
        <f t="shared" si="8"/>
      </c>
      <c r="Y117" s="150">
        <f t="shared" si="8"/>
      </c>
      <c r="Z117" s="150">
        <f t="shared" si="8"/>
      </c>
      <c r="AA117" s="150">
        <f t="shared" si="8"/>
      </c>
      <c r="AB117" s="150">
        <f t="shared" si="8"/>
      </c>
      <c r="AC117" s="150">
        <f t="shared" si="8"/>
      </c>
      <c r="AD117" s="150">
        <f t="shared" si="8"/>
      </c>
      <c r="AE117" s="150">
        <f t="shared" si="8"/>
      </c>
      <c r="AF117" s="150">
        <f t="shared" si="8"/>
      </c>
      <c r="AG117" s="150">
        <f t="shared" si="8"/>
      </c>
      <c r="AH117" s="150">
        <f t="shared" si="8"/>
      </c>
      <c r="AI117" s="150">
        <f t="shared" si="8"/>
      </c>
      <c r="AJ117" s="150">
        <f t="shared" si="8"/>
      </c>
      <c r="AK117" s="150">
        <f t="shared" si="8"/>
      </c>
      <c r="AL117" s="151">
        <f t="shared" si="8"/>
      </c>
    </row>
    <row r="118" spans="2:39" ht="14.25" hidden="1"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28"/>
    </row>
    <row r="119" spans="2:39" ht="15" hidden="1">
      <c r="B119" s="153" t="s">
        <v>343</v>
      </c>
      <c r="C119" s="152"/>
      <c r="D119" s="152"/>
      <c r="E119" s="154"/>
      <c r="F119" s="154"/>
      <c r="G119" s="154"/>
      <c r="H119" s="154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28"/>
    </row>
    <row r="120" spans="2:39" ht="15" hidden="1">
      <c r="B120" s="155" t="s">
        <v>344</v>
      </c>
      <c r="C120" s="152"/>
      <c r="D120" s="152"/>
      <c r="E120" s="156"/>
      <c r="F120" s="156"/>
      <c r="G120" s="156"/>
      <c r="H120" s="156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28"/>
    </row>
    <row r="121" spans="2:39" ht="14.25" hidden="1">
      <c r="B121" s="157"/>
      <c r="C121" s="157"/>
      <c r="D121" s="152"/>
      <c r="E121" s="156"/>
      <c r="F121" s="156"/>
      <c r="G121" s="156"/>
      <c r="H121" s="156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28"/>
    </row>
    <row r="122" spans="2:39" ht="14.25" hidden="1">
      <c r="B122" s="157"/>
      <c r="C122" s="157"/>
      <c r="D122" s="152"/>
      <c r="E122" s="156"/>
      <c r="F122" s="156"/>
      <c r="G122" s="156"/>
      <c r="H122" s="156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28"/>
    </row>
    <row r="123" spans="2:39" ht="15" hidden="1">
      <c r="B123" s="158" t="s">
        <v>345</v>
      </c>
      <c r="C123" s="158"/>
      <c r="D123" s="158"/>
      <c r="E123" s="159"/>
      <c r="F123" s="159"/>
      <c r="G123" s="159"/>
      <c r="H123" s="156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28"/>
    </row>
    <row r="124" spans="2:39" ht="14.25" hidden="1" outlineLevel="1">
      <c r="B124" s="160"/>
      <c r="C124" s="160"/>
      <c r="D124" s="161" t="s">
        <v>346</v>
      </c>
      <c r="E124" s="156"/>
      <c r="F124" s="156"/>
      <c r="G124" s="156"/>
      <c r="H124" s="156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28"/>
    </row>
    <row r="125" spans="2:39" ht="14.25" hidden="1" outlineLevel="1">
      <c r="B125" s="160"/>
      <c r="C125" s="160"/>
      <c r="D125" s="162" t="s">
        <v>347</v>
      </c>
      <c r="E125" s="156"/>
      <c r="F125" s="156"/>
      <c r="G125" s="156"/>
      <c r="H125" s="156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28"/>
    </row>
    <row r="126" spans="2:39" ht="14.25" hidden="1" outlineLevel="1">
      <c r="B126" s="160"/>
      <c r="C126" s="160"/>
      <c r="D126" s="163" t="s">
        <v>348</v>
      </c>
      <c r="E126" s="156"/>
      <c r="F126" s="156"/>
      <c r="G126" s="156"/>
      <c r="H126" s="156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28"/>
    </row>
    <row r="127" spans="2:39" ht="14.25" hidden="1" outlineLevel="1">
      <c r="B127" s="164"/>
      <c r="C127" s="164"/>
      <c r="D127" s="165" t="s">
        <v>349</v>
      </c>
      <c r="E127" s="156"/>
      <c r="F127" s="156"/>
      <c r="G127" s="156"/>
      <c r="H127" s="156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28"/>
    </row>
    <row r="128" spans="2:38" ht="14.25" hidden="1" outlineLevel="2">
      <c r="B128" s="166" t="s">
        <v>350</v>
      </c>
      <c r="C128" s="167" t="s">
        <v>350</v>
      </c>
      <c r="D128" s="168" t="s">
        <v>351</v>
      </c>
      <c r="E128" s="169" t="s">
        <v>71</v>
      </c>
      <c r="F128" s="170" t="s">
        <v>71</v>
      </c>
      <c r="G128" s="170" t="s">
        <v>71</v>
      </c>
      <c r="H128" s="171" t="s">
        <v>71</v>
      </c>
      <c r="I128" s="172" t="str">
        <f aca="true" t="shared" si="9" ref="I128:AL128">IF(ROUND(I10+I32+I34,2)&gt;=ROUND(I21-I24,2),"TAK","NIE")</f>
        <v>TAK</v>
      </c>
      <c r="J128" s="173" t="str">
        <f t="shared" si="9"/>
        <v>TAK</v>
      </c>
      <c r="K128" s="173" t="str">
        <f t="shared" si="9"/>
        <v>TAK</v>
      </c>
      <c r="L128" s="173" t="str">
        <f t="shared" si="9"/>
        <v>TAK</v>
      </c>
      <c r="M128" s="173" t="str">
        <f t="shared" si="9"/>
        <v>TAK</v>
      </c>
      <c r="N128" s="173" t="str">
        <f t="shared" si="9"/>
        <v>TAK</v>
      </c>
      <c r="O128" s="173" t="str">
        <f t="shared" si="9"/>
        <v>TAK</v>
      </c>
      <c r="P128" s="173" t="str">
        <f t="shared" si="9"/>
        <v>TAK</v>
      </c>
      <c r="Q128" s="173" t="str">
        <f t="shared" si="9"/>
        <v>TAK</v>
      </c>
      <c r="R128" s="173" t="str">
        <f t="shared" si="9"/>
        <v>TAK</v>
      </c>
      <c r="S128" s="173" t="str">
        <f t="shared" si="9"/>
        <v>TAK</v>
      </c>
      <c r="T128" s="173" t="str">
        <f t="shared" si="9"/>
        <v>TAK</v>
      </c>
      <c r="U128" s="173" t="str">
        <f t="shared" si="9"/>
        <v>TAK</v>
      </c>
      <c r="V128" s="173" t="str">
        <f t="shared" si="9"/>
        <v>TAK</v>
      </c>
      <c r="W128" s="173" t="str">
        <f t="shared" si="9"/>
        <v>TAK</v>
      </c>
      <c r="X128" s="173" t="str">
        <f t="shared" si="9"/>
        <v>TAK</v>
      </c>
      <c r="Y128" s="173" t="str">
        <f t="shared" si="9"/>
        <v>TAK</v>
      </c>
      <c r="Z128" s="173" t="str">
        <f t="shared" si="9"/>
        <v>TAK</v>
      </c>
      <c r="AA128" s="173" t="str">
        <f t="shared" si="9"/>
        <v>TAK</v>
      </c>
      <c r="AB128" s="173" t="str">
        <f t="shared" si="9"/>
        <v>TAK</v>
      </c>
      <c r="AC128" s="173" t="str">
        <f t="shared" si="9"/>
        <v>TAK</v>
      </c>
      <c r="AD128" s="173" t="str">
        <f t="shared" si="9"/>
        <v>TAK</v>
      </c>
      <c r="AE128" s="173" t="str">
        <f t="shared" si="9"/>
        <v>TAK</v>
      </c>
      <c r="AF128" s="173" t="str">
        <f t="shared" si="9"/>
        <v>TAK</v>
      </c>
      <c r="AG128" s="173" t="str">
        <f t="shared" si="9"/>
        <v>TAK</v>
      </c>
      <c r="AH128" s="173" t="str">
        <f t="shared" si="9"/>
        <v>TAK</v>
      </c>
      <c r="AI128" s="173" t="str">
        <f t="shared" si="9"/>
        <v>TAK</v>
      </c>
      <c r="AJ128" s="173" t="str">
        <f t="shared" si="9"/>
        <v>TAK</v>
      </c>
      <c r="AK128" s="173" t="str">
        <f t="shared" si="9"/>
        <v>TAK</v>
      </c>
      <c r="AL128" s="174" t="str">
        <f t="shared" si="9"/>
        <v>TAK</v>
      </c>
    </row>
    <row r="129" spans="2:38" ht="24" hidden="1" outlineLevel="2">
      <c r="B129" s="175" t="s">
        <v>352</v>
      </c>
      <c r="C129" s="176" t="s">
        <v>352</v>
      </c>
      <c r="D129" s="177" t="s">
        <v>353</v>
      </c>
      <c r="E129" s="178" t="s">
        <v>71</v>
      </c>
      <c r="F129" s="179" t="s">
        <v>71</v>
      </c>
      <c r="G129" s="179" t="s">
        <v>71</v>
      </c>
      <c r="H129" s="180" t="s">
        <v>71</v>
      </c>
      <c r="I129" s="181" t="s">
        <v>71</v>
      </c>
      <c r="J129" s="182" t="s">
        <v>71</v>
      </c>
      <c r="K129" s="182" t="str">
        <f aca="true" t="shared" si="10" ref="K129:AL129">IF(K97=0,"TAK","BŁĄD")</f>
        <v>TAK</v>
      </c>
      <c r="L129" s="182" t="str">
        <f t="shared" si="10"/>
        <v>TAK</v>
      </c>
      <c r="M129" s="182" t="str">
        <f t="shared" si="10"/>
        <v>TAK</v>
      </c>
      <c r="N129" s="182" t="str">
        <f t="shared" si="10"/>
        <v>TAK</v>
      </c>
      <c r="O129" s="182" t="str">
        <f t="shared" si="10"/>
        <v>TAK</v>
      </c>
      <c r="P129" s="182" t="str">
        <f t="shared" si="10"/>
        <v>TAK</v>
      </c>
      <c r="Q129" s="182" t="str">
        <f t="shared" si="10"/>
        <v>TAK</v>
      </c>
      <c r="R129" s="182" t="str">
        <f t="shared" si="10"/>
        <v>TAK</v>
      </c>
      <c r="S129" s="182" t="str">
        <f t="shared" si="10"/>
        <v>TAK</v>
      </c>
      <c r="T129" s="182" t="str">
        <f t="shared" si="10"/>
        <v>TAK</v>
      </c>
      <c r="U129" s="182" t="str">
        <f t="shared" si="10"/>
        <v>TAK</v>
      </c>
      <c r="V129" s="182" t="str">
        <f t="shared" si="10"/>
        <v>TAK</v>
      </c>
      <c r="W129" s="182" t="str">
        <f t="shared" si="10"/>
        <v>TAK</v>
      </c>
      <c r="X129" s="182" t="str">
        <f t="shared" si="10"/>
        <v>TAK</v>
      </c>
      <c r="Y129" s="182" t="str">
        <f t="shared" si="10"/>
        <v>TAK</v>
      </c>
      <c r="Z129" s="182" t="str">
        <f t="shared" si="10"/>
        <v>TAK</v>
      </c>
      <c r="AA129" s="182" t="str">
        <f t="shared" si="10"/>
        <v>TAK</v>
      </c>
      <c r="AB129" s="182" t="str">
        <f t="shared" si="10"/>
        <v>TAK</v>
      </c>
      <c r="AC129" s="182" t="str">
        <f t="shared" si="10"/>
        <v>TAK</v>
      </c>
      <c r="AD129" s="182" t="str">
        <f t="shared" si="10"/>
        <v>TAK</v>
      </c>
      <c r="AE129" s="182" t="str">
        <f t="shared" si="10"/>
        <v>TAK</v>
      </c>
      <c r="AF129" s="182" t="str">
        <f t="shared" si="10"/>
        <v>TAK</v>
      </c>
      <c r="AG129" s="182" t="str">
        <f t="shared" si="10"/>
        <v>TAK</v>
      </c>
      <c r="AH129" s="182" t="str">
        <f t="shared" si="10"/>
        <v>TAK</v>
      </c>
      <c r="AI129" s="182" t="str">
        <f t="shared" si="10"/>
        <v>TAK</v>
      </c>
      <c r="AJ129" s="182" t="str">
        <f t="shared" si="10"/>
        <v>TAK</v>
      </c>
      <c r="AK129" s="182" t="str">
        <f t="shared" si="10"/>
        <v>TAK</v>
      </c>
      <c r="AL129" s="183" t="str">
        <f t="shared" si="10"/>
        <v>TAK</v>
      </c>
    </row>
    <row r="130" spans="2:38" ht="14.25" hidden="1" outlineLevel="1">
      <c r="B130" s="175" t="s">
        <v>354</v>
      </c>
      <c r="C130" s="176" t="s">
        <v>354</v>
      </c>
      <c r="D130" s="184" t="s">
        <v>355</v>
      </c>
      <c r="E130" s="178" t="s">
        <v>71</v>
      </c>
      <c r="F130" s="179" t="s">
        <v>71</v>
      </c>
      <c r="G130" s="179" t="s">
        <v>71</v>
      </c>
      <c r="H130" s="180" t="s">
        <v>71</v>
      </c>
      <c r="I130" s="185" t="str">
        <f aca="true" t="shared" si="11" ref="I130:AL130">IF(ROUND(I9+I31-I20-I40,2)=0,"OK",ROUND(I9+I31-I20-I40,2))</f>
        <v>OK</v>
      </c>
      <c r="J130" s="186" t="str">
        <f t="shared" si="11"/>
        <v>OK</v>
      </c>
      <c r="K130" s="186" t="str">
        <f t="shared" si="11"/>
        <v>OK</v>
      </c>
      <c r="L130" s="186" t="str">
        <f t="shared" si="11"/>
        <v>OK</v>
      </c>
      <c r="M130" s="186" t="str">
        <f t="shared" si="11"/>
        <v>OK</v>
      </c>
      <c r="N130" s="186" t="str">
        <f t="shared" si="11"/>
        <v>OK</v>
      </c>
      <c r="O130" s="186" t="str">
        <f t="shared" si="11"/>
        <v>OK</v>
      </c>
      <c r="P130" s="186" t="str">
        <f t="shared" si="11"/>
        <v>OK</v>
      </c>
      <c r="Q130" s="186" t="str">
        <f t="shared" si="11"/>
        <v>OK</v>
      </c>
      <c r="R130" s="186" t="str">
        <f t="shared" si="11"/>
        <v>OK</v>
      </c>
      <c r="S130" s="186" t="str">
        <f t="shared" si="11"/>
        <v>OK</v>
      </c>
      <c r="T130" s="186" t="str">
        <f t="shared" si="11"/>
        <v>OK</v>
      </c>
      <c r="U130" s="186" t="str">
        <f t="shared" si="11"/>
        <v>OK</v>
      </c>
      <c r="V130" s="186" t="str">
        <f t="shared" si="11"/>
        <v>OK</v>
      </c>
      <c r="W130" s="186" t="str">
        <f t="shared" si="11"/>
        <v>OK</v>
      </c>
      <c r="X130" s="186" t="str">
        <f t="shared" si="11"/>
        <v>OK</v>
      </c>
      <c r="Y130" s="186" t="str">
        <f t="shared" si="11"/>
        <v>OK</v>
      </c>
      <c r="Z130" s="186" t="str">
        <f t="shared" si="11"/>
        <v>OK</v>
      </c>
      <c r="AA130" s="186" t="str">
        <f t="shared" si="11"/>
        <v>OK</v>
      </c>
      <c r="AB130" s="186" t="str">
        <f t="shared" si="11"/>
        <v>OK</v>
      </c>
      <c r="AC130" s="186" t="str">
        <f t="shared" si="11"/>
        <v>OK</v>
      </c>
      <c r="AD130" s="186" t="str">
        <f t="shared" si="11"/>
        <v>OK</v>
      </c>
      <c r="AE130" s="186" t="str">
        <f t="shared" si="11"/>
        <v>OK</v>
      </c>
      <c r="AF130" s="186" t="str">
        <f t="shared" si="11"/>
        <v>OK</v>
      </c>
      <c r="AG130" s="186" t="str">
        <f t="shared" si="11"/>
        <v>OK</v>
      </c>
      <c r="AH130" s="186" t="str">
        <f t="shared" si="11"/>
        <v>OK</v>
      </c>
      <c r="AI130" s="186" t="str">
        <f t="shared" si="11"/>
        <v>OK</v>
      </c>
      <c r="AJ130" s="186" t="str">
        <f t="shared" si="11"/>
        <v>OK</v>
      </c>
      <c r="AK130" s="186" t="str">
        <f t="shared" si="11"/>
        <v>OK</v>
      </c>
      <c r="AL130" s="187" t="str">
        <f t="shared" si="11"/>
        <v>OK</v>
      </c>
    </row>
    <row r="131" spans="2:38" ht="14.25" hidden="1" outlineLevel="2">
      <c r="B131" s="188" t="s">
        <v>356</v>
      </c>
      <c r="C131" s="189" t="s">
        <v>356</v>
      </c>
      <c r="D131" s="184" t="s">
        <v>357</v>
      </c>
      <c r="E131" s="178" t="s">
        <v>71</v>
      </c>
      <c r="F131" s="179" t="s">
        <v>71</v>
      </c>
      <c r="G131" s="179" t="s">
        <v>71</v>
      </c>
      <c r="H131" s="180" t="s">
        <v>71</v>
      </c>
      <c r="I131" s="185">
        <f aca="true" t="shared" si="12" ref="I131:AL131">+IF(ROUND(H47+I36-I41+(I104-H104)+I109-I47,2)=0,"OK",ROUND(H47+I36-I41+(I104-H104)+I109-I47,2))</f>
        <v>427791.04</v>
      </c>
      <c r="J131" s="186" t="str">
        <f t="shared" si="12"/>
        <v>OK</v>
      </c>
      <c r="K131" s="186" t="str">
        <f t="shared" si="12"/>
        <v>OK</v>
      </c>
      <c r="L131" s="186" t="str">
        <f t="shared" si="12"/>
        <v>OK</v>
      </c>
      <c r="M131" s="186" t="str">
        <f t="shared" si="12"/>
        <v>OK</v>
      </c>
      <c r="N131" s="186" t="str">
        <f t="shared" si="12"/>
        <v>OK</v>
      </c>
      <c r="O131" s="186" t="str">
        <f t="shared" si="12"/>
        <v>OK</v>
      </c>
      <c r="P131" s="186" t="str">
        <f t="shared" si="12"/>
        <v>OK</v>
      </c>
      <c r="Q131" s="186" t="str">
        <f t="shared" si="12"/>
        <v>OK</v>
      </c>
      <c r="R131" s="186" t="str">
        <f t="shared" si="12"/>
        <v>OK</v>
      </c>
      <c r="S131" s="186" t="str">
        <f t="shared" si="12"/>
        <v>OK</v>
      </c>
      <c r="T131" s="186" t="str">
        <f t="shared" si="12"/>
        <v>OK</v>
      </c>
      <c r="U131" s="186" t="str">
        <f t="shared" si="12"/>
        <v>OK</v>
      </c>
      <c r="V131" s="186" t="str">
        <f t="shared" si="12"/>
        <v>OK</v>
      </c>
      <c r="W131" s="186" t="str">
        <f t="shared" si="12"/>
        <v>OK</v>
      </c>
      <c r="X131" s="186" t="str">
        <f t="shared" si="12"/>
        <v>OK</v>
      </c>
      <c r="Y131" s="186" t="str">
        <f t="shared" si="12"/>
        <v>OK</v>
      </c>
      <c r="Z131" s="186" t="str">
        <f t="shared" si="12"/>
        <v>OK</v>
      </c>
      <c r="AA131" s="186" t="str">
        <f t="shared" si="12"/>
        <v>OK</v>
      </c>
      <c r="AB131" s="186" t="str">
        <f t="shared" si="12"/>
        <v>OK</v>
      </c>
      <c r="AC131" s="186" t="str">
        <f t="shared" si="12"/>
        <v>OK</v>
      </c>
      <c r="AD131" s="186" t="str">
        <f t="shared" si="12"/>
        <v>OK</v>
      </c>
      <c r="AE131" s="186" t="str">
        <f t="shared" si="12"/>
        <v>OK</v>
      </c>
      <c r="AF131" s="186" t="str">
        <f t="shared" si="12"/>
        <v>OK</v>
      </c>
      <c r="AG131" s="186" t="str">
        <f t="shared" si="12"/>
        <v>OK</v>
      </c>
      <c r="AH131" s="186" t="str">
        <f t="shared" si="12"/>
        <v>OK</v>
      </c>
      <c r="AI131" s="186" t="str">
        <f t="shared" si="12"/>
        <v>OK</v>
      </c>
      <c r="AJ131" s="186" t="str">
        <f t="shared" si="12"/>
        <v>OK</v>
      </c>
      <c r="AK131" s="186" t="str">
        <f t="shared" si="12"/>
        <v>OK</v>
      </c>
      <c r="AL131" s="187" t="str">
        <f t="shared" si="12"/>
        <v>OK</v>
      </c>
    </row>
    <row r="132" spans="2:38" ht="60" hidden="1" outlineLevel="2">
      <c r="B132" s="188" t="s">
        <v>358</v>
      </c>
      <c r="C132" s="189" t="s">
        <v>358</v>
      </c>
      <c r="D132" s="184" t="s">
        <v>359</v>
      </c>
      <c r="E132" s="190" t="s">
        <v>71</v>
      </c>
      <c r="F132" s="179" t="s">
        <v>71</v>
      </c>
      <c r="G132" s="179" t="s">
        <v>71</v>
      </c>
      <c r="H132" s="180" t="s">
        <v>71</v>
      </c>
      <c r="I132" s="186">
        <f aca="true" t="shared" si="13" ref="I132:AL132">+IF(H104=0,"N/D",IF(ROUND(I104+I105-H104,2)=0,"OK",ROUND(I104+I105-H104,2)))</f>
        <v>427791.04</v>
      </c>
      <c r="J132" s="186" t="str">
        <f t="shared" si="13"/>
        <v>OK</v>
      </c>
      <c r="K132" s="186" t="str">
        <f t="shared" si="13"/>
        <v>OK</v>
      </c>
      <c r="L132" s="186" t="str">
        <f t="shared" si="13"/>
        <v>OK</v>
      </c>
      <c r="M132" s="186" t="str">
        <f t="shared" si="13"/>
        <v>N/D</v>
      </c>
      <c r="N132" s="186" t="str">
        <f t="shared" si="13"/>
        <v>N/D</v>
      </c>
      <c r="O132" s="186" t="str">
        <f t="shared" si="13"/>
        <v>N/D</v>
      </c>
      <c r="P132" s="186" t="str">
        <f t="shared" si="13"/>
        <v>N/D</v>
      </c>
      <c r="Q132" s="186" t="str">
        <f t="shared" si="13"/>
        <v>N/D</v>
      </c>
      <c r="R132" s="186" t="str">
        <f t="shared" si="13"/>
        <v>N/D</v>
      </c>
      <c r="S132" s="186" t="str">
        <f t="shared" si="13"/>
        <v>N/D</v>
      </c>
      <c r="T132" s="186" t="str">
        <f t="shared" si="13"/>
        <v>N/D</v>
      </c>
      <c r="U132" s="186" t="str">
        <f t="shared" si="13"/>
        <v>N/D</v>
      </c>
      <c r="V132" s="186" t="str">
        <f t="shared" si="13"/>
        <v>N/D</v>
      </c>
      <c r="W132" s="186" t="str">
        <f t="shared" si="13"/>
        <v>N/D</v>
      </c>
      <c r="X132" s="186" t="str">
        <f t="shared" si="13"/>
        <v>N/D</v>
      </c>
      <c r="Y132" s="186" t="str">
        <f t="shared" si="13"/>
        <v>N/D</v>
      </c>
      <c r="Z132" s="186" t="str">
        <f t="shared" si="13"/>
        <v>N/D</v>
      </c>
      <c r="AA132" s="186" t="str">
        <f t="shared" si="13"/>
        <v>N/D</v>
      </c>
      <c r="AB132" s="186" t="str">
        <f t="shared" si="13"/>
        <v>N/D</v>
      </c>
      <c r="AC132" s="186" t="str">
        <f t="shared" si="13"/>
        <v>N/D</v>
      </c>
      <c r="AD132" s="186" t="str">
        <f t="shared" si="13"/>
        <v>N/D</v>
      </c>
      <c r="AE132" s="186" t="str">
        <f t="shared" si="13"/>
        <v>N/D</v>
      </c>
      <c r="AF132" s="186" t="str">
        <f t="shared" si="13"/>
        <v>N/D</v>
      </c>
      <c r="AG132" s="186" t="str">
        <f t="shared" si="13"/>
        <v>N/D</v>
      </c>
      <c r="AH132" s="186" t="str">
        <f t="shared" si="13"/>
        <v>N/D</v>
      </c>
      <c r="AI132" s="186" t="str">
        <f t="shared" si="13"/>
        <v>N/D</v>
      </c>
      <c r="AJ132" s="186" t="str">
        <f t="shared" si="13"/>
        <v>N/D</v>
      </c>
      <c r="AK132" s="186" t="str">
        <f t="shared" si="13"/>
        <v>N/D</v>
      </c>
      <c r="AL132" s="187" t="str">
        <f t="shared" si="13"/>
        <v>N/D</v>
      </c>
    </row>
    <row r="133" spans="2:38" ht="36" hidden="1" outlineLevel="2">
      <c r="B133" s="188" t="s">
        <v>360</v>
      </c>
      <c r="C133" s="189" t="s">
        <v>360</v>
      </c>
      <c r="D133" s="184" t="s">
        <v>361</v>
      </c>
      <c r="E133" s="178" t="s">
        <v>71</v>
      </c>
      <c r="F133" s="179" t="s">
        <v>71</v>
      </c>
      <c r="G133" s="179" t="s">
        <v>71</v>
      </c>
      <c r="H133" s="180" t="s">
        <v>71</v>
      </c>
      <c r="I133" s="185" t="str">
        <f aca="true" t="shared" si="14" ref="I133:AL133">+IF(H95=0,"N/D",IF(ROUND(I95+(I97+I98+I99+I100)-H95,2)=0,"OK",ROUND(I95+(I97+I98+I99+I100)-H95,2)))</f>
        <v>N/D</v>
      </c>
      <c r="J133" s="186" t="str">
        <f t="shared" si="14"/>
        <v>N/D</v>
      </c>
      <c r="K133" s="186" t="str">
        <f t="shared" si="14"/>
        <v>N/D</v>
      </c>
      <c r="L133" s="186" t="str">
        <f t="shared" si="14"/>
        <v>N/D</v>
      </c>
      <c r="M133" s="186" t="str">
        <f t="shared" si="14"/>
        <v>N/D</v>
      </c>
      <c r="N133" s="186" t="str">
        <f t="shared" si="14"/>
        <v>N/D</v>
      </c>
      <c r="O133" s="186" t="str">
        <f t="shared" si="14"/>
        <v>N/D</v>
      </c>
      <c r="P133" s="186" t="str">
        <f t="shared" si="14"/>
        <v>N/D</v>
      </c>
      <c r="Q133" s="186" t="str">
        <f t="shared" si="14"/>
        <v>N/D</v>
      </c>
      <c r="R133" s="186" t="str">
        <f t="shared" si="14"/>
        <v>N/D</v>
      </c>
      <c r="S133" s="186" t="str">
        <f t="shared" si="14"/>
        <v>N/D</v>
      </c>
      <c r="T133" s="186" t="str">
        <f t="shared" si="14"/>
        <v>N/D</v>
      </c>
      <c r="U133" s="186" t="str">
        <f t="shared" si="14"/>
        <v>N/D</v>
      </c>
      <c r="V133" s="186" t="str">
        <f t="shared" si="14"/>
        <v>N/D</v>
      </c>
      <c r="W133" s="186" t="str">
        <f t="shared" si="14"/>
        <v>N/D</v>
      </c>
      <c r="X133" s="186" t="str">
        <f t="shared" si="14"/>
        <v>N/D</v>
      </c>
      <c r="Y133" s="186" t="str">
        <f t="shared" si="14"/>
        <v>N/D</v>
      </c>
      <c r="Z133" s="186" t="str">
        <f t="shared" si="14"/>
        <v>N/D</v>
      </c>
      <c r="AA133" s="186" t="str">
        <f t="shared" si="14"/>
        <v>N/D</v>
      </c>
      <c r="AB133" s="186" t="str">
        <f t="shared" si="14"/>
        <v>N/D</v>
      </c>
      <c r="AC133" s="186" t="str">
        <f t="shared" si="14"/>
        <v>N/D</v>
      </c>
      <c r="AD133" s="186" t="str">
        <f t="shared" si="14"/>
        <v>N/D</v>
      </c>
      <c r="AE133" s="186" t="str">
        <f t="shared" si="14"/>
        <v>N/D</v>
      </c>
      <c r="AF133" s="186" t="str">
        <f t="shared" si="14"/>
        <v>N/D</v>
      </c>
      <c r="AG133" s="186" t="str">
        <f t="shared" si="14"/>
        <v>N/D</v>
      </c>
      <c r="AH133" s="186" t="str">
        <f t="shared" si="14"/>
        <v>N/D</v>
      </c>
      <c r="AI133" s="186" t="str">
        <f t="shared" si="14"/>
        <v>N/D</v>
      </c>
      <c r="AJ133" s="186" t="str">
        <f t="shared" si="14"/>
        <v>N/D</v>
      </c>
      <c r="AK133" s="186" t="str">
        <f t="shared" si="14"/>
        <v>N/D</v>
      </c>
      <c r="AL133" s="187" t="str">
        <f t="shared" si="14"/>
        <v>N/D</v>
      </c>
    </row>
    <row r="134" spans="2:38" ht="14.25" hidden="1" outlineLevel="1">
      <c r="B134" s="175" t="s">
        <v>362</v>
      </c>
      <c r="C134" s="176" t="s">
        <v>362</v>
      </c>
      <c r="D134" s="191" t="s">
        <v>363</v>
      </c>
      <c r="E134" s="178" t="s">
        <v>71</v>
      </c>
      <c r="F134" s="179" t="s">
        <v>71</v>
      </c>
      <c r="G134" s="179" t="s">
        <v>71</v>
      </c>
      <c r="H134" s="180" t="s">
        <v>71</v>
      </c>
      <c r="I134" s="192" t="str">
        <f aca="true" t="shared" si="15" ref="I134:AL134">IF(I30&lt;0,IF(ROUND(I33+I35+I37+I39+I30,2)=0,"OK",ROUND(I33+I35+I37+I39+I30,2)),"N/D")</f>
        <v>N/D</v>
      </c>
      <c r="J134" s="193" t="str">
        <f t="shared" si="15"/>
        <v>N/D</v>
      </c>
      <c r="K134" s="193" t="str">
        <f t="shared" si="15"/>
        <v>N/D</v>
      </c>
      <c r="L134" s="193" t="str">
        <f t="shared" si="15"/>
        <v>N/D</v>
      </c>
      <c r="M134" s="193" t="str">
        <f t="shared" si="15"/>
        <v>N/D</v>
      </c>
      <c r="N134" s="193" t="str">
        <f t="shared" si="15"/>
        <v>N/D</v>
      </c>
      <c r="O134" s="193" t="str">
        <f t="shared" si="15"/>
        <v>N/D</v>
      </c>
      <c r="P134" s="193" t="str">
        <f t="shared" si="15"/>
        <v>N/D</v>
      </c>
      <c r="Q134" s="193" t="str">
        <f t="shared" si="15"/>
        <v>N/D</v>
      </c>
      <c r="R134" s="193" t="str">
        <f t="shared" si="15"/>
        <v>N/D</v>
      </c>
      <c r="S134" s="193" t="str">
        <f t="shared" si="15"/>
        <v>N/D</v>
      </c>
      <c r="T134" s="193" t="str">
        <f t="shared" si="15"/>
        <v>N/D</v>
      </c>
      <c r="U134" s="193" t="str">
        <f t="shared" si="15"/>
        <v>N/D</v>
      </c>
      <c r="V134" s="193" t="str">
        <f t="shared" si="15"/>
        <v>N/D</v>
      </c>
      <c r="W134" s="193" t="str">
        <f t="shared" si="15"/>
        <v>N/D</v>
      </c>
      <c r="X134" s="193" t="str">
        <f t="shared" si="15"/>
        <v>N/D</v>
      </c>
      <c r="Y134" s="193" t="str">
        <f t="shared" si="15"/>
        <v>N/D</v>
      </c>
      <c r="Z134" s="193" t="str">
        <f t="shared" si="15"/>
        <v>N/D</v>
      </c>
      <c r="AA134" s="193" t="str">
        <f t="shared" si="15"/>
        <v>N/D</v>
      </c>
      <c r="AB134" s="193" t="str">
        <f t="shared" si="15"/>
        <v>N/D</v>
      </c>
      <c r="AC134" s="193" t="str">
        <f t="shared" si="15"/>
        <v>N/D</v>
      </c>
      <c r="AD134" s="193" t="str">
        <f t="shared" si="15"/>
        <v>N/D</v>
      </c>
      <c r="AE134" s="193" t="str">
        <f t="shared" si="15"/>
        <v>N/D</v>
      </c>
      <c r="AF134" s="193" t="str">
        <f t="shared" si="15"/>
        <v>N/D</v>
      </c>
      <c r="AG134" s="193" t="str">
        <f t="shared" si="15"/>
        <v>N/D</v>
      </c>
      <c r="AH134" s="193" t="str">
        <f t="shared" si="15"/>
        <v>N/D</v>
      </c>
      <c r="AI134" s="193" t="str">
        <f t="shared" si="15"/>
        <v>N/D</v>
      </c>
      <c r="AJ134" s="193" t="str">
        <f t="shared" si="15"/>
        <v>N/D</v>
      </c>
      <c r="AK134" s="193" t="str">
        <f t="shared" si="15"/>
        <v>N/D</v>
      </c>
      <c r="AL134" s="194" t="str">
        <f t="shared" si="15"/>
        <v>N/D</v>
      </c>
    </row>
    <row r="135" spans="2:38" ht="24" hidden="1" outlineLevel="2">
      <c r="B135" s="175" t="s">
        <v>364</v>
      </c>
      <c r="C135" s="176" t="s">
        <v>364</v>
      </c>
      <c r="D135" s="191" t="s">
        <v>365</v>
      </c>
      <c r="E135" s="178" t="s">
        <v>71</v>
      </c>
      <c r="F135" s="179" t="s">
        <v>71</v>
      </c>
      <c r="G135" s="179" t="s">
        <v>71</v>
      </c>
      <c r="H135" s="180" t="s">
        <v>71</v>
      </c>
      <c r="I135" s="192" t="str">
        <f aca="true" t="shared" si="16" ref="I135:AL135">IF(I30&gt;=0,IF(ROUND(I33+I35+I37+I39,2)=0,"OK",ROUND(I33+I35+I37+I39,2)),"N/D")</f>
        <v>OK</v>
      </c>
      <c r="J135" s="193" t="str">
        <f t="shared" si="16"/>
        <v>OK</v>
      </c>
      <c r="K135" s="193" t="str">
        <f t="shared" si="16"/>
        <v>OK</v>
      </c>
      <c r="L135" s="193" t="str">
        <f t="shared" si="16"/>
        <v>OK</v>
      </c>
      <c r="M135" s="193" t="str">
        <f t="shared" si="16"/>
        <v>OK</v>
      </c>
      <c r="N135" s="193" t="str">
        <f t="shared" si="16"/>
        <v>OK</v>
      </c>
      <c r="O135" s="193" t="str">
        <f t="shared" si="16"/>
        <v>OK</v>
      </c>
      <c r="P135" s="193" t="str">
        <f t="shared" si="16"/>
        <v>OK</v>
      </c>
      <c r="Q135" s="193" t="str">
        <f t="shared" si="16"/>
        <v>OK</v>
      </c>
      <c r="R135" s="193" t="str">
        <f t="shared" si="16"/>
        <v>OK</v>
      </c>
      <c r="S135" s="193" t="str">
        <f t="shared" si="16"/>
        <v>OK</v>
      </c>
      <c r="T135" s="193" t="str">
        <f t="shared" si="16"/>
        <v>OK</v>
      </c>
      <c r="U135" s="193" t="str">
        <f t="shared" si="16"/>
        <v>OK</v>
      </c>
      <c r="V135" s="193" t="str">
        <f t="shared" si="16"/>
        <v>OK</v>
      </c>
      <c r="W135" s="193" t="str">
        <f t="shared" si="16"/>
        <v>OK</v>
      </c>
      <c r="X135" s="193" t="str">
        <f t="shared" si="16"/>
        <v>OK</v>
      </c>
      <c r="Y135" s="193" t="str">
        <f t="shared" si="16"/>
        <v>OK</v>
      </c>
      <c r="Z135" s="193" t="str">
        <f t="shared" si="16"/>
        <v>OK</v>
      </c>
      <c r="AA135" s="193" t="str">
        <f t="shared" si="16"/>
        <v>OK</v>
      </c>
      <c r="AB135" s="193" t="str">
        <f t="shared" si="16"/>
        <v>OK</v>
      </c>
      <c r="AC135" s="193" t="str">
        <f t="shared" si="16"/>
        <v>OK</v>
      </c>
      <c r="AD135" s="193" t="str">
        <f t="shared" si="16"/>
        <v>OK</v>
      </c>
      <c r="AE135" s="193" t="str">
        <f t="shared" si="16"/>
        <v>OK</v>
      </c>
      <c r="AF135" s="193" t="str">
        <f t="shared" si="16"/>
        <v>OK</v>
      </c>
      <c r="AG135" s="193" t="str">
        <f t="shared" si="16"/>
        <v>OK</v>
      </c>
      <c r="AH135" s="193" t="str">
        <f t="shared" si="16"/>
        <v>OK</v>
      </c>
      <c r="AI135" s="193" t="str">
        <f t="shared" si="16"/>
        <v>OK</v>
      </c>
      <c r="AJ135" s="193" t="str">
        <f t="shared" si="16"/>
        <v>OK</v>
      </c>
      <c r="AK135" s="193" t="str">
        <f t="shared" si="16"/>
        <v>OK</v>
      </c>
      <c r="AL135" s="194" t="str">
        <f t="shared" si="16"/>
        <v>OK</v>
      </c>
    </row>
    <row r="136" spans="2:38" ht="14.25" hidden="1" outlineLevel="2">
      <c r="B136" s="175" t="s">
        <v>366</v>
      </c>
      <c r="C136" s="176" t="s">
        <v>366</v>
      </c>
      <c r="D136" s="191" t="s">
        <v>367</v>
      </c>
      <c r="E136" s="178" t="s">
        <v>71</v>
      </c>
      <c r="F136" s="179" t="s">
        <v>71</v>
      </c>
      <c r="G136" s="179" t="s">
        <v>71</v>
      </c>
      <c r="H136" s="180" t="s">
        <v>71</v>
      </c>
      <c r="I136" s="181" t="str">
        <f aca="true" t="shared" si="17" ref="I136:AL136">IF(I13&gt;=I14,"OK","BŁĄD")</f>
        <v>OK</v>
      </c>
      <c r="J136" s="182" t="str">
        <f t="shared" si="17"/>
        <v>OK</v>
      </c>
      <c r="K136" s="182" t="str">
        <f t="shared" si="17"/>
        <v>OK</v>
      </c>
      <c r="L136" s="182" t="str">
        <f t="shared" si="17"/>
        <v>OK</v>
      </c>
      <c r="M136" s="182" t="str">
        <f t="shared" si="17"/>
        <v>OK</v>
      </c>
      <c r="N136" s="182" t="str">
        <f t="shared" si="17"/>
        <v>OK</v>
      </c>
      <c r="O136" s="182" t="str">
        <f t="shared" si="17"/>
        <v>OK</v>
      </c>
      <c r="P136" s="182" t="str">
        <f t="shared" si="17"/>
        <v>OK</v>
      </c>
      <c r="Q136" s="182" t="str">
        <f t="shared" si="17"/>
        <v>OK</v>
      </c>
      <c r="R136" s="182" t="str">
        <f t="shared" si="17"/>
        <v>OK</v>
      </c>
      <c r="S136" s="182" t="str">
        <f t="shared" si="17"/>
        <v>OK</v>
      </c>
      <c r="T136" s="182" t="str">
        <f t="shared" si="17"/>
        <v>OK</v>
      </c>
      <c r="U136" s="182" t="str">
        <f t="shared" si="17"/>
        <v>OK</v>
      </c>
      <c r="V136" s="182" t="str">
        <f t="shared" si="17"/>
        <v>OK</v>
      </c>
      <c r="W136" s="182" t="str">
        <f t="shared" si="17"/>
        <v>OK</v>
      </c>
      <c r="X136" s="182" t="str">
        <f t="shared" si="17"/>
        <v>OK</v>
      </c>
      <c r="Y136" s="182" t="str">
        <f t="shared" si="17"/>
        <v>OK</v>
      </c>
      <c r="Z136" s="182" t="str">
        <f t="shared" si="17"/>
        <v>OK</v>
      </c>
      <c r="AA136" s="182" t="str">
        <f t="shared" si="17"/>
        <v>OK</v>
      </c>
      <c r="AB136" s="182" t="str">
        <f t="shared" si="17"/>
        <v>OK</v>
      </c>
      <c r="AC136" s="182" t="str">
        <f t="shared" si="17"/>
        <v>OK</v>
      </c>
      <c r="AD136" s="182" t="str">
        <f t="shared" si="17"/>
        <v>OK</v>
      </c>
      <c r="AE136" s="182" t="str">
        <f t="shared" si="17"/>
        <v>OK</v>
      </c>
      <c r="AF136" s="182" t="str">
        <f t="shared" si="17"/>
        <v>OK</v>
      </c>
      <c r="AG136" s="182" t="str">
        <f t="shared" si="17"/>
        <v>OK</v>
      </c>
      <c r="AH136" s="182" t="str">
        <f t="shared" si="17"/>
        <v>OK</v>
      </c>
      <c r="AI136" s="182" t="str">
        <f t="shared" si="17"/>
        <v>OK</v>
      </c>
      <c r="AJ136" s="182" t="str">
        <f t="shared" si="17"/>
        <v>OK</v>
      </c>
      <c r="AK136" s="182" t="str">
        <f t="shared" si="17"/>
        <v>OK</v>
      </c>
      <c r="AL136" s="183" t="str">
        <f t="shared" si="17"/>
        <v>OK</v>
      </c>
    </row>
    <row r="137" spans="2:38" ht="14.25" hidden="1" outlineLevel="2">
      <c r="B137" s="175" t="s">
        <v>368</v>
      </c>
      <c r="C137" s="176" t="s">
        <v>368</v>
      </c>
      <c r="D137" s="191" t="s">
        <v>369</v>
      </c>
      <c r="E137" s="178" t="s">
        <v>71</v>
      </c>
      <c r="F137" s="179" t="s">
        <v>71</v>
      </c>
      <c r="G137" s="179" t="s">
        <v>71</v>
      </c>
      <c r="H137" s="180" t="s">
        <v>71</v>
      </c>
      <c r="I137" s="181" t="str">
        <f aca="true" t="shared" si="18" ref="I137:AL137">IF(I16&gt;=I96,"OK","BŁĄD")</f>
        <v>OK</v>
      </c>
      <c r="J137" s="182" t="str">
        <f t="shared" si="18"/>
        <v>OK</v>
      </c>
      <c r="K137" s="182" t="str">
        <f t="shared" si="18"/>
        <v>OK</v>
      </c>
      <c r="L137" s="182" t="str">
        <f t="shared" si="18"/>
        <v>OK</v>
      </c>
      <c r="M137" s="182" t="str">
        <f t="shared" si="18"/>
        <v>OK</v>
      </c>
      <c r="N137" s="182" t="str">
        <f t="shared" si="18"/>
        <v>OK</v>
      </c>
      <c r="O137" s="182" t="str">
        <f t="shared" si="18"/>
        <v>OK</v>
      </c>
      <c r="P137" s="182" t="str">
        <f t="shared" si="18"/>
        <v>OK</v>
      </c>
      <c r="Q137" s="182" t="str">
        <f t="shared" si="18"/>
        <v>OK</v>
      </c>
      <c r="R137" s="182" t="str">
        <f t="shared" si="18"/>
        <v>OK</v>
      </c>
      <c r="S137" s="182" t="str">
        <f t="shared" si="18"/>
        <v>OK</v>
      </c>
      <c r="T137" s="182" t="str">
        <f t="shared" si="18"/>
        <v>OK</v>
      </c>
      <c r="U137" s="182" t="str">
        <f t="shared" si="18"/>
        <v>OK</v>
      </c>
      <c r="V137" s="182" t="str">
        <f t="shared" si="18"/>
        <v>OK</v>
      </c>
      <c r="W137" s="182" t="str">
        <f t="shared" si="18"/>
        <v>OK</v>
      </c>
      <c r="X137" s="182" t="str">
        <f t="shared" si="18"/>
        <v>OK</v>
      </c>
      <c r="Y137" s="182" t="str">
        <f t="shared" si="18"/>
        <v>OK</v>
      </c>
      <c r="Z137" s="182" t="str">
        <f t="shared" si="18"/>
        <v>OK</v>
      </c>
      <c r="AA137" s="182" t="str">
        <f t="shared" si="18"/>
        <v>OK</v>
      </c>
      <c r="AB137" s="182" t="str">
        <f t="shared" si="18"/>
        <v>OK</v>
      </c>
      <c r="AC137" s="182" t="str">
        <f t="shared" si="18"/>
        <v>OK</v>
      </c>
      <c r="AD137" s="182" t="str">
        <f t="shared" si="18"/>
        <v>OK</v>
      </c>
      <c r="AE137" s="182" t="str">
        <f t="shared" si="18"/>
        <v>OK</v>
      </c>
      <c r="AF137" s="182" t="str">
        <f t="shared" si="18"/>
        <v>OK</v>
      </c>
      <c r="AG137" s="182" t="str">
        <f t="shared" si="18"/>
        <v>OK</v>
      </c>
      <c r="AH137" s="182" t="str">
        <f t="shared" si="18"/>
        <v>OK</v>
      </c>
      <c r="AI137" s="182" t="str">
        <f t="shared" si="18"/>
        <v>OK</v>
      </c>
      <c r="AJ137" s="182" t="str">
        <f t="shared" si="18"/>
        <v>OK</v>
      </c>
      <c r="AK137" s="182" t="str">
        <f t="shared" si="18"/>
        <v>OK</v>
      </c>
      <c r="AL137" s="183" t="str">
        <f t="shared" si="18"/>
        <v>OK</v>
      </c>
    </row>
    <row r="138" spans="2:38" ht="14.25" hidden="1" outlineLevel="2">
      <c r="B138" s="175" t="s">
        <v>370</v>
      </c>
      <c r="C138" s="176" t="s">
        <v>370</v>
      </c>
      <c r="D138" s="191" t="s">
        <v>371</v>
      </c>
      <c r="E138" s="178" t="s">
        <v>71</v>
      </c>
      <c r="F138" s="179" t="s">
        <v>71</v>
      </c>
      <c r="G138" s="179" t="s">
        <v>71</v>
      </c>
      <c r="H138" s="180" t="s">
        <v>71</v>
      </c>
      <c r="I138" s="181" t="str">
        <f aca="true" t="shared" si="19" ref="I138:AL138">IF(I10&gt;=I11+I12+I13+I15+I16,"OK","BŁĄD")</f>
        <v>OK</v>
      </c>
      <c r="J138" s="182" t="str">
        <f t="shared" si="19"/>
        <v>OK</v>
      </c>
      <c r="K138" s="182" t="str">
        <f t="shared" si="19"/>
        <v>OK</v>
      </c>
      <c r="L138" s="182" t="str">
        <f t="shared" si="19"/>
        <v>OK</v>
      </c>
      <c r="M138" s="182" t="str">
        <f t="shared" si="19"/>
        <v>OK</v>
      </c>
      <c r="N138" s="182" t="str">
        <f t="shared" si="19"/>
        <v>OK</v>
      </c>
      <c r="O138" s="182" t="str">
        <f t="shared" si="19"/>
        <v>OK</v>
      </c>
      <c r="P138" s="182" t="str">
        <f t="shared" si="19"/>
        <v>OK</v>
      </c>
      <c r="Q138" s="182" t="str">
        <f t="shared" si="19"/>
        <v>OK</v>
      </c>
      <c r="R138" s="182" t="str">
        <f t="shared" si="19"/>
        <v>OK</v>
      </c>
      <c r="S138" s="182" t="str">
        <f t="shared" si="19"/>
        <v>OK</v>
      </c>
      <c r="T138" s="182" t="str">
        <f t="shared" si="19"/>
        <v>OK</v>
      </c>
      <c r="U138" s="182" t="str">
        <f t="shared" si="19"/>
        <v>OK</v>
      </c>
      <c r="V138" s="182" t="str">
        <f t="shared" si="19"/>
        <v>OK</v>
      </c>
      <c r="W138" s="182" t="str">
        <f t="shared" si="19"/>
        <v>OK</v>
      </c>
      <c r="X138" s="182" t="str">
        <f t="shared" si="19"/>
        <v>OK</v>
      </c>
      <c r="Y138" s="182" t="str">
        <f t="shared" si="19"/>
        <v>OK</v>
      </c>
      <c r="Z138" s="182" t="str">
        <f t="shared" si="19"/>
        <v>OK</v>
      </c>
      <c r="AA138" s="182" t="str">
        <f t="shared" si="19"/>
        <v>OK</v>
      </c>
      <c r="AB138" s="182" t="str">
        <f t="shared" si="19"/>
        <v>OK</v>
      </c>
      <c r="AC138" s="182" t="str">
        <f t="shared" si="19"/>
        <v>OK</v>
      </c>
      <c r="AD138" s="182" t="str">
        <f t="shared" si="19"/>
        <v>OK</v>
      </c>
      <c r="AE138" s="182" t="str">
        <f t="shared" si="19"/>
        <v>OK</v>
      </c>
      <c r="AF138" s="182" t="str">
        <f t="shared" si="19"/>
        <v>OK</v>
      </c>
      <c r="AG138" s="182" t="str">
        <f t="shared" si="19"/>
        <v>OK</v>
      </c>
      <c r="AH138" s="182" t="str">
        <f t="shared" si="19"/>
        <v>OK</v>
      </c>
      <c r="AI138" s="182" t="str">
        <f t="shared" si="19"/>
        <v>OK</v>
      </c>
      <c r="AJ138" s="182" t="str">
        <f t="shared" si="19"/>
        <v>OK</v>
      </c>
      <c r="AK138" s="182" t="str">
        <f t="shared" si="19"/>
        <v>OK</v>
      </c>
      <c r="AL138" s="183" t="str">
        <f t="shared" si="19"/>
        <v>OK</v>
      </c>
    </row>
    <row r="139" spans="2:38" ht="14.25" hidden="1" outlineLevel="2">
      <c r="B139" s="175" t="s">
        <v>372</v>
      </c>
      <c r="C139" s="176" t="s">
        <v>372</v>
      </c>
      <c r="D139" s="191" t="s">
        <v>373</v>
      </c>
      <c r="E139" s="178" t="s">
        <v>71</v>
      </c>
      <c r="F139" s="179" t="s">
        <v>71</v>
      </c>
      <c r="G139" s="179" t="s">
        <v>71</v>
      </c>
      <c r="H139" s="180" t="s">
        <v>71</v>
      </c>
      <c r="I139" s="181" t="str">
        <f aca="true" t="shared" si="20" ref="I139:AL139">IF(I10&gt;=I74,"OK","BŁĄD")</f>
        <v>OK</v>
      </c>
      <c r="J139" s="182" t="str">
        <f t="shared" si="20"/>
        <v>OK</v>
      </c>
      <c r="K139" s="182" t="str">
        <f t="shared" si="20"/>
        <v>OK</v>
      </c>
      <c r="L139" s="182" t="str">
        <f t="shared" si="20"/>
        <v>OK</v>
      </c>
      <c r="M139" s="182" t="str">
        <f t="shared" si="20"/>
        <v>OK</v>
      </c>
      <c r="N139" s="182" t="str">
        <f t="shared" si="20"/>
        <v>OK</v>
      </c>
      <c r="O139" s="182" t="str">
        <f t="shared" si="20"/>
        <v>OK</v>
      </c>
      <c r="P139" s="182" t="str">
        <f t="shared" si="20"/>
        <v>OK</v>
      </c>
      <c r="Q139" s="182" t="str">
        <f t="shared" si="20"/>
        <v>OK</v>
      </c>
      <c r="R139" s="182" t="str">
        <f t="shared" si="20"/>
        <v>OK</v>
      </c>
      <c r="S139" s="182" t="str">
        <f t="shared" si="20"/>
        <v>OK</v>
      </c>
      <c r="T139" s="182" t="str">
        <f t="shared" si="20"/>
        <v>OK</v>
      </c>
      <c r="U139" s="182" t="str">
        <f t="shared" si="20"/>
        <v>OK</v>
      </c>
      <c r="V139" s="182" t="str">
        <f t="shared" si="20"/>
        <v>OK</v>
      </c>
      <c r="W139" s="182" t="str">
        <f t="shared" si="20"/>
        <v>OK</v>
      </c>
      <c r="X139" s="182" t="str">
        <f t="shared" si="20"/>
        <v>OK</v>
      </c>
      <c r="Y139" s="182" t="str">
        <f t="shared" si="20"/>
        <v>OK</v>
      </c>
      <c r="Z139" s="182" t="str">
        <f t="shared" si="20"/>
        <v>OK</v>
      </c>
      <c r="AA139" s="182" t="str">
        <f t="shared" si="20"/>
        <v>OK</v>
      </c>
      <c r="AB139" s="182" t="str">
        <f t="shared" si="20"/>
        <v>OK</v>
      </c>
      <c r="AC139" s="182" t="str">
        <f t="shared" si="20"/>
        <v>OK</v>
      </c>
      <c r="AD139" s="182" t="str">
        <f t="shared" si="20"/>
        <v>OK</v>
      </c>
      <c r="AE139" s="182" t="str">
        <f t="shared" si="20"/>
        <v>OK</v>
      </c>
      <c r="AF139" s="182" t="str">
        <f t="shared" si="20"/>
        <v>OK</v>
      </c>
      <c r="AG139" s="182" t="str">
        <f t="shared" si="20"/>
        <v>OK</v>
      </c>
      <c r="AH139" s="182" t="str">
        <f t="shared" si="20"/>
        <v>OK</v>
      </c>
      <c r="AI139" s="182" t="str">
        <f t="shared" si="20"/>
        <v>OK</v>
      </c>
      <c r="AJ139" s="182" t="str">
        <f t="shared" si="20"/>
        <v>OK</v>
      </c>
      <c r="AK139" s="182" t="str">
        <f t="shared" si="20"/>
        <v>OK</v>
      </c>
      <c r="AL139" s="183" t="str">
        <f t="shared" si="20"/>
        <v>OK</v>
      </c>
    </row>
    <row r="140" spans="2:38" ht="14.25" hidden="1" outlineLevel="2">
      <c r="B140" s="175" t="s">
        <v>374</v>
      </c>
      <c r="C140" s="176" t="s">
        <v>374</v>
      </c>
      <c r="D140" s="191" t="s">
        <v>375</v>
      </c>
      <c r="E140" s="178" t="s">
        <v>71</v>
      </c>
      <c r="F140" s="179" t="s">
        <v>71</v>
      </c>
      <c r="G140" s="179" t="s">
        <v>71</v>
      </c>
      <c r="H140" s="180" t="s">
        <v>71</v>
      </c>
      <c r="I140" s="181" t="str">
        <f aca="true" t="shared" si="21" ref="I140:AL140">IF(I17&gt;=I18,"OK","BŁĄD")</f>
        <v>OK</v>
      </c>
      <c r="J140" s="182" t="str">
        <f t="shared" si="21"/>
        <v>OK</v>
      </c>
      <c r="K140" s="182" t="str">
        <f t="shared" si="21"/>
        <v>OK</v>
      </c>
      <c r="L140" s="182" t="str">
        <f t="shared" si="21"/>
        <v>OK</v>
      </c>
      <c r="M140" s="182" t="str">
        <f t="shared" si="21"/>
        <v>OK</v>
      </c>
      <c r="N140" s="182" t="str">
        <f t="shared" si="21"/>
        <v>OK</v>
      </c>
      <c r="O140" s="182" t="str">
        <f t="shared" si="21"/>
        <v>OK</v>
      </c>
      <c r="P140" s="182" t="str">
        <f t="shared" si="21"/>
        <v>OK</v>
      </c>
      <c r="Q140" s="182" t="str">
        <f t="shared" si="21"/>
        <v>OK</v>
      </c>
      <c r="R140" s="182" t="str">
        <f t="shared" si="21"/>
        <v>OK</v>
      </c>
      <c r="S140" s="182" t="str">
        <f t="shared" si="21"/>
        <v>OK</v>
      </c>
      <c r="T140" s="182" t="str">
        <f t="shared" si="21"/>
        <v>OK</v>
      </c>
      <c r="U140" s="182" t="str">
        <f t="shared" si="21"/>
        <v>OK</v>
      </c>
      <c r="V140" s="182" t="str">
        <f t="shared" si="21"/>
        <v>OK</v>
      </c>
      <c r="W140" s="182" t="str">
        <f t="shared" si="21"/>
        <v>OK</v>
      </c>
      <c r="X140" s="182" t="str">
        <f t="shared" si="21"/>
        <v>OK</v>
      </c>
      <c r="Y140" s="182" t="str">
        <f t="shared" si="21"/>
        <v>OK</v>
      </c>
      <c r="Z140" s="182" t="str">
        <f t="shared" si="21"/>
        <v>OK</v>
      </c>
      <c r="AA140" s="182" t="str">
        <f t="shared" si="21"/>
        <v>OK</v>
      </c>
      <c r="AB140" s="182" t="str">
        <f t="shared" si="21"/>
        <v>OK</v>
      </c>
      <c r="AC140" s="182" t="str">
        <f t="shared" si="21"/>
        <v>OK</v>
      </c>
      <c r="AD140" s="182" t="str">
        <f t="shared" si="21"/>
        <v>OK</v>
      </c>
      <c r="AE140" s="182" t="str">
        <f t="shared" si="21"/>
        <v>OK</v>
      </c>
      <c r="AF140" s="182" t="str">
        <f t="shared" si="21"/>
        <v>OK</v>
      </c>
      <c r="AG140" s="182" t="str">
        <f t="shared" si="21"/>
        <v>OK</v>
      </c>
      <c r="AH140" s="182" t="str">
        <f t="shared" si="21"/>
        <v>OK</v>
      </c>
      <c r="AI140" s="182" t="str">
        <f t="shared" si="21"/>
        <v>OK</v>
      </c>
      <c r="AJ140" s="182" t="str">
        <f t="shared" si="21"/>
        <v>OK</v>
      </c>
      <c r="AK140" s="182" t="str">
        <f t="shared" si="21"/>
        <v>OK</v>
      </c>
      <c r="AL140" s="183" t="str">
        <f t="shared" si="21"/>
        <v>OK</v>
      </c>
    </row>
    <row r="141" spans="2:38" ht="14.25" hidden="1" outlineLevel="2">
      <c r="B141" s="175" t="s">
        <v>376</v>
      </c>
      <c r="C141" s="176" t="s">
        <v>376</v>
      </c>
      <c r="D141" s="191" t="s">
        <v>377</v>
      </c>
      <c r="E141" s="178" t="s">
        <v>71</v>
      </c>
      <c r="F141" s="179" t="s">
        <v>71</v>
      </c>
      <c r="G141" s="179" t="s">
        <v>71</v>
      </c>
      <c r="H141" s="180" t="s">
        <v>71</v>
      </c>
      <c r="I141" s="181" t="str">
        <f aca="true" t="shared" si="22" ref="I141:AL141">IF(I17&gt;=I19,"OK","BŁĄD")</f>
        <v>OK</v>
      </c>
      <c r="J141" s="182" t="str">
        <f t="shared" si="22"/>
        <v>OK</v>
      </c>
      <c r="K141" s="182" t="str">
        <f t="shared" si="22"/>
        <v>OK</v>
      </c>
      <c r="L141" s="182" t="str">
        <f t="shared" si="22"/>
        <v>OK</v>
      </c>
      <c r="M141" s="182" t="str">
        <f t="shared" si="22"/>
        <v>OK</v>
      </c>
      <c r="N141" s="182" t="str">
        <f t="shared" si="22"/>
        <v>OK</v>
      </c>
      <c r="O141" s="182" t="str">
        <f t="shared" si="22"/>
        <v>OK</v>
      </c>
      <c r="P141" s="182" t="str">
        <f t="shared" si="22"/>
        <v>OK</v>
      </c>
      <c r="Q141" s="182" t="str">
        <f t="shared" si="22"/>
        <v>OK</v>
      </c>
      <c r="R141" s="182" t="str">
        <f t="shared" si="22"/>
        <v>OK</v>
      </c>
      <c r="S141" s="182" t="str">
        <f t="shared" si="22"/>
        <v>OK</v>
      </c>
      <c r="T141" s="182" t="str">
        <f t="shared" si="22"/>
        <v>OK</v>
      </c>
      <c r="U141" s="182" t="str">
        <f t="shared" si="22"/>
        <v>OK</v>
      </c>
      <c r="V141" s="182" t="str">
        <f t="shared" si="22"/>
        <v>OK</v>
      </c>
      <c r="W141" s="182" t="str">
        <f t="shared" si="22"/>
        <v>OK</v>
      </c>
      <c r="X141" s="182" t="str">
        <f t="shared" si="22"/>
        <v>OK</v>
      </c>
      <c r="Y141" s="182" t="str">
        <f t="shared" si="22"/>
        <v>OK</v>
      </c>
      <c r="Z141" s="182" t="str">
        <f t="shared" si="22"/>
        <v>OK</v>
      </c>
      <c r="AA141" s="182" t="str">
        <f t="shared" si="22"/>
        <v>OK</v>
      </c>
      <c r="AB141" s="182" t="str">
        <f t="shared" si="22"/>
        <v>OK</v>
      </c>
      <c r="AC141" s="182" t="str">
        <f t="shared" si="22"/>
        <v>OK</v>
      </c>
      <c r="AD141" s="182" t="str">
        <f t="shared" si="22"/>
        <v>OK</v>
      </c>
      <c r="AE141" s="182" t="str">
        <f t="shared" si="22"/>
        <v>OK</v>
      </c>
      <c r="AF141" s="182" t="str">
        <f t="shared" si="22"/>
        <v>OK</v>
      </c>
      <c r="AG141" s="182" t="str">
        <f t="shared" si="22"/>
        <v>OK</v>
      </c>
      <c r="AH141" s="182" t="str">
        <f t="shared" si="22"/>
        <v>OK</v>
      </c>
      <c r="AI141" s="182" t="str">
        <f t="shared" si="22"/>
        <v>OK</v>
      </c>
      <c r="AJ141" s="182" t="str">
        <f t="shared" si="22"/>
        <v>OK</v>
      </c>
      <c r="AK141" s="182" t="str">
        <f t="shared" si="22"/>
        <v>OK</v>
      </c>
      <c r="AL141" s="183" t="str">
        <f t="shared" si="22"/>
        <v>OK</v>
      </c>
    </row>
    <row r="142" spans="2:38" ht="14.25" hidden="1" outlineLevel="2">
      <c r="B142" s="175" t="s">
        <v>378</v>
      </c>
      <c r="C142" s="176" t="s">
        <v>378</v>
      </c>
      <c r="D142" s="191" t="s">
        <v>379</v>
      </c>
      <c r="E142" s="178" t="s">
        <v>71</v>
      </c>
      <c r="F142" s="179" t="s">
        <v>71</v>
      </c>
      <c r="G142" s="179" t="s">
        <v>71</v>
      </c>
      <c r="H142" s="180" t="s">
        <v>71</v>
      </c>
      <c r="I142" s="181" t="str">
        <f aca="true" t="shared" si="23" ref="I142:AL142">IF(I17&gt;=I77,"OK","BŁĄD")</f>
        <v>OK</v>
      </c>
      <c r="J142" s="182" t="str">
        <f t="shared" si="23"/>
        <v>OK</v>
      </c>
      <c r="K142" s="182" t="str">
        <f t="shared" si="23"/>
        <v>OK</v>
      </c>
      <c r="L142" s="182" t="str">
        <f t="shared" si="23"/>
        <v>OK</v>
      </c>
      <c r="M142" s="182" t="str">
        <f t="shared" si="23"/>
        <v>OK</v>
      </c>
      <c r="N142" s="182" t="str">
        <f t="shared" si="23"/>
        <v>OK</v>
      </c>
      <c r="O142" s="182" t="str">
        <f t="shared" si="23"/>
        <v>OK</v>
      </c>
      <c r="P142" s="182" t="str">
        <f t="shared" si="23"/>
        <v>OK</v>
      </c>
      <c r="Q142" s="182" t="str">
        <f t="shared" si="23"/>
        <v>OK</v>
      </c>
      <c r="R142" s="182" t="str">
        <f t="shared" si="23"/>
        <v>OK</v>
      </c>
      <c r="S142" s="182" t="str">
        <f t="shared" si="23"/>
        <v>OK</v>
      </c>
      <c r="T142" s="182" t="str">
        <f t="shared" si="23"/>
        <v>OK</v>
      </c>
      <c r="U142" s="182" t="str">
        <f t="shared" si="23"/>
        <v>OK</v>
      </c>
      <c r="V142" s="182" t="str">
        <f t="shared" si="23"/>
        <v>OK</v>
      </c>
      <c r="W142" s="182" t="str">
        <f t="shared" si="23"/>
        <v>OK</v>
      </c>
      <c r="X142" s="182" t="str">
        <f t="shared" si="23"/>
        <v>OK</v>
      </c>
      <c r="Y142" s="182" t="str">
        <f t="shared" si="23"/>
        <v>OK</v>
      </c>
      <c r="Z142" s="182" t="str">
        <f t="shared" si="23"/>
        <v>OK</v>
      </c>
      <c r="AA142" s="182" t="str">
        <f t="shared" si="23"/>
        <v>OK</v>
      </c>
      <c r="AB142" s="182" t="str">
        <f t="shared" si="23"/>
        <v>OK</v>
      </c>
      <c r="AC142" s="182" t="str">
        <f t="shared" si="23"/>
        <v>OK</v>
      </c>
      <c r="AD142" s="182" t="str">
        <f t="shared" si="23"/>
        <v>OK</v>
      </c>
      <c r="AE142" s="182" t="str">
        <f t="shared" si="23"/>
        <v>OK</v>
      </c>
      <c r="AF142" s="182" t="str">
        <f t="shared" si="23"/>
        <v>OK</v>
      </c>
      <c r="AG142" s="182" t="str">
        <f t="shared" si="23"/>
        <v>OK</v>
      </c>
      <c r="AH142" s="182" t="str">
        <f t="shared" si="23"/>
        <v>OK</v>
      </c>
      <c r="AI142" s="182" t="str">
        <f t="shared" si="23"/>
        <v>OK</v>
      </c>
      <c r="AJ142" s="182" t="str">
        <f t="shared" si="23"/>
        <v>OK</v>
      </c>
      <c r="AK142" s="182" t="str">
        <f t="shared" si="23"/>
        <v>OK</v>
      </c>
      <c r="AL142" s="183" t="str">
        <f t="shared" si="23"/>
        <v>OK</v>
      </c>
    </row>
    <row r="143" spans="2:38" ht="14.25" hidden="1" outlineLevel="2">
      <c r="B143" s="175"/>
      <c r="C143" s="176"/>
      <c r="D143" s="191" t="s">
        <v>380</v>
      </c>
      <c r="E143" s="178" t="s">
        <v>71</v>
      </c>
      <c r="F143" s="179" t="s">
        <v>71</v>
      </c>
      <c r="G143" s="179" t="s">
        <v>71</v>
      </c>
      <c r="H143" s="180" t="s">
        <v>71</v>
      </c>
      <c r="I143" s="181" t="str">
        <f aca="true" t="shared" si="24" ref="I143:AL143">+IF(I30&gt;0,IF(I30=I62,"OK","Błąd"),"N/D")</f>
        <v>OK</v>
      </c>
      <c r="J143" s="181" t="str">
        <f t="shared" si="24"/>
        <v>OK</v>
      </c>
      <c r="K143" s="181" t="str">
        <f t="shared" si="24"/>
        <v>OK</v>
      </c>
      <c r="L143" s="181" t="str">
        <f t="shared" si="24"/>
        <v>OK</v>
      </c>
      <c r="M143" s="181" t="str">
        <f t="shared" si="24"/>
        <v>OK</v>
      </c>
      <c r="N143" s="181" t="str">
        <f t="shared" si="24"/>
        <v>OK</v>
      </c>
      <c r="O143" s="181" t="str">
        <f t="shared" si="24"/>
        <v>OK</v>
      </c>
      <c r="P143" s="181" t="str">
        <f t="shared" si="24"/>
        <v>OK</v>
      </c>
      <c r="Q143" s="181" t="str">
        <f t="shared" si="24"/>
        <v>OK</v>
      </c>
      <c r="R143" s="181" t="str">
        <f t="shared" si="24"/>
        <v>N/D</v>
      </c>
      <c r="S143" s="181" t="str">
        <f t="shared" si="24"/>
        <v>N/D</v>
      </c>
      <c r="T143" s="181" t="str">
        <f t="shared" si="24"/>
        <v>N/D</v>
      </c>
      <c r="U143" s="181" t="str">
        <f t="shared" si="24"/>
        <v>N/D</v>
      </c>
      <c r="V143" s="181" t="str">
        <f t="shared" si="24"/>
        <v>N/D</v>
      </c>
      <c r="W143" s="181" t="str">
        <f t="shared" si="24"/>
        <v>N/D</v>
      </c>
      <c r="X143" s="181" t="str">
        <f t="shared" si="24"/>
        <v>N/D</v>
      </c>
      <c r="Y143" s="181" t="str">
        <f t="shared" si="24"/>
        <v>N/D</v>
      </c>
      <c r="Z143" s="181" t="str">
        <f t="shared" si="24"/>
        <v>N/D</v>
      </c>
      <c r="AA143" s="181" t="str">
        <f t="shared" si="24"/>
        <v>N/D</v>
      </c>
      <c r="AB143" s="181" t="str">
        <f t="shared" si="24"/>
        <v>N/D</v>
      </c>
      <c r="AC143" s="181" t="str">
        <f t="shared" si="24"/>
        <v>N/D</v>
      </c>
      <c r="AD143" s="181" t="str">
        <f t="shared" si="24"/>
        <v>N/D</v>
      </c>
      <c r="AE143" s="181" t="str">
        <f t="shared" si="24"/>
        <v>N/D</v>
      </c>
      <c r="AF143" s="181" t="str">
        <f t="shared" si="24"/>
        <v>N/D</v>
      </c>
      <c r="AG143" s="181" t="str">
        <f t="shared" si="24"/>
        <v>N/D</v>
      </c>
      <c r="AH143" s="181" t="str">
        <f t="shared" si="24"/>
        <v>N/D</v>
      </c>
      <c r="AI143" s="181" t="str">
        <f t="shared" si="24"/>
        <v>N/D</v>
      </c>
      <c r="AJ143" s="181" t="str">
        <f t="shared" si="24"/>
        <v>N/D</v>
      </c>
      <c r="AK143" s="181" t="str">
        <f t="shared" si="24"/>
        <v>N/D</v>
      </c>
      <c r="AL143" s="181" t="str">
        <f t="shared" si="24"/>
        <v>N/D</v>
      </c>
    </row>
    <row r="144" spans="2:38" ht="14.25" hidden="1" outlineLevel="2">
      <c r="B144" s="175" t="s">
        <v>381</v>
      </c>
      <c r="C144" s="176" t="s">
        <v>381</v>
      </c>
      <c r="D144" s="191" t="s">
        <v>382</v>
      </c>
      <c r="E144" s="178" t="s">
        <v>71</v>
      </c>
      <c r="F144" s="179" t="s">
        <v>71</v>
      </c>
      <c r="G144" s="179" t="s">
        <v>71</v>
      </c>
      <c r="H144" s="180" t="s">
        <v>71</v>
      </c>
      <c r="I144" s="181" t="str">
        <f aca="true" t="shared" si="25" ref="I144:AL144">IF(I62&gt;=I63,"OK","BŁĄD")</f>
        <v>OK</v>
      </c>
      <c r="J144" s="182" t="str">
        <f t="shared" si="25"/>
        <v>OK</v>
      </c>
      <c r="K144" s="182" t="str">
        <f t="shared" si="25"/>
        <v>OK</v>
      </c>
      <c r="L144" s="182" t="str">
        <f t="shared" si="25"/>
        <v>OK</v>
      </c>
      <c r="M144" s="182" t="str">
        <f t="shared" si="25"/>
        <v>OK</v>
      </c>
      <c r="N144" s="182" t="str">
        <f t="shared" si="25"/>
        <v>OK</v>
      </c>
      <c r="O144" s="182" t="str">
        <f t="shared" si="25"/>
        <v>OK</v>
      </c>
      <c r="P144" s="182" t="str">
        <f t="shared" si="25"/>
        <v>OK</v>
      </c>
      <c r="Q144" s="182" t="str">
        <f t="shared" si="25"/>
        <v>OK</v>
      </c>
      <c r="R144" s="182" t="str">
        <f t="shared" si="25"/>
        <v>OK</v>
      </c>
      <c r="S144" s="182" t="str">
        <f t="shared" si="25"/>
        <v>OK</v>
      </c>
      <c r="T144" s="182" t="str">
        <f t="shared" si="25"/>
        <v>OK</v>
      </c>
      <c r="U144" s="182" t="str">
        <f t="shared" si="25"/>
        <v>OK</v>
      </c>
      <c r="V144" s="182" t="str">
        <f t="shared" si="25"/>
        <v>OK</v>
      </c>
      <c r="W144" s="182" t="str">
        <f t="shared" si="25"/>
        <v>OK</v>
      </c>
      <c r="X144" s="182" t="str">
        <f t="shared" si="25"/>
        <v>OK</v>
      </c>
      <c r="Y144" s="182" t="str">
        <f t="shared" si="25"/>
        <v>OK</v>
      </c>
      <c r="Z144" s="182" t="str">
        <f t="shared" si="25"/>
        <v>OK</v>
      </c>
      <c r="AA144" s="182" t="str">
        <f t="shared" si="25"/>
        <v>OK</v>
      </c>
      <c r="AB144" s="182" t="str">
        <f t="shared" si="25"/>
        <v>OK</v>
      </c>
      <c r="AC144" s="182" t="str">
        <f t="shared" si="25"/>
        <v>OK</v>
      </c>
      <c r="AD144" s="182" t="str">
        <f t="shared" si="25"/>
        <v>OK</v>
      </c>
      <c r="AE144" s="182" t="str">
        <f t="shared" si="25"/>
        <v>OK</v>
      </c>
      <c r="AF144" s="182" t="str">
        <f t="shared" si="25"/>
        <v>OK</v>
      </c>
      <c r="AG144" s="182" t="str">
        <f t="shared" si="25"/>
        <v>OK</v>
      </c>
      <c r="AH144" s="182" t="str">
        <f t="shared" si="25"/>
        <v>OK</v>
      </c>
      <c r="AI144" s="182" t="str">
        <f t="shared" si="25"/>
        <v>OK</v>
      </c>
      <c r="AJ144" s="182" t="str">
        <f t="shared" si="25"/>
        <v>OK</v>
      </c>
      <c r="AK144" s="182" t="str">
        <f t="shared" si="25"/>
        <v>OK</v>
      </c>
      <c r="AL144" s="183" t="str">
        <f t="shared" si="25"/>
        <v>OK</v>
      </c>
    </row>
    <row r="145" spans="2:38" ht="14.25" hidden="1" outlineLevel="2">
      <c r="B145" s="175"/>
      <c r="C145" s="176" t="s">
        <v>383</v>
      </c>
      <c r="D145" s="191" t="s">
        <v>384</v>
      </c>
      <c r="E145" s="178" t="s">
        <v>71</v>
      </c>
      <c r="F145" s="179" t="s">
        <v>71</v>
      </c>
      <c r="G145" s="179" t="s">
        <v>71</v>
      </c>
      <c r="H145" s="180" t="s">
        <v>71</v>
      </c>
      <c r="I145" s="181" t="str">
        <f aca="true" t="shared" si="26" ref="I145:AL145">IF(I62&gt;0,IF(I63&gt;0,"OK","BŁĄD"),"N/D")</f>
        <v>OK</v>
      </c>
      <c r="J145" s="182" t="str">
        <f t="shared" si="26"/>
        <v>OK</v>
      </c>
      <c r="K145" s="182" t="str">
        <f t="shared" si="26"/>
        <v>OK</v>
      </c>
      <c r="L145" s="182" t="str">
        <f t="shared" si="26"/>
        <v>OK</v>
      </c>
      <c r="M145" s="182" t="str">
        <f t="shared" si="26"/>
        <v>OK</v>
      </c>
      <c r="N145" s="182" t="str">
        <f t="shared" si="26"/>
        <v>OK</v>
      </c>
      <c r="O145" s="182" t="str">
        <f t="shared" si="26"/>
        <v>OK</v>
      </c>
      <c r="P145" s="182" t="str">
        <f t="shared" si="26"/>
        <v>OK</v>
      </c>
      <c r="Q145" s="182" t="str">
        <f t="shared" si="26"/>
        <v>OK</v>
      </c>
      <c r="R145" s="182" t="str">
        <f t="shared" si="26"/>
        <v>N/D</v>
      </c>
      <c r="S145" s="182" t="str">
        <f t="shared" si="26"/>
        <v>N/D</v>
      </c>
      <c r="T145" s="182" t="str">
        <f t="shared" si="26"/>
        <v>N/D</v>
      </c>
      <c r="U145" s="182" t="str">
        <f t="shared" si="26"/>
        <v>N/D</v>
      </c>
      <c r="V145" s="182" t="str">
        <f t="shared" si="26"/>
        <v>N/D</v>
      </c>
      <c r="W145" s="182" t="str">
        <f t="shared" si="26"/>
        <v>N/D</v>
      </c>
      <c r="X145" s="182" t="str">
        <f t="shared" si="26"/>
        <v>N/D</v>
      </c>
      <c r="Y145" s="182" t="str">
        <f t="shared" si="26"/>
        <v>N/D</v>
      </c>
      <c r="Z145" s="182" t="str">
        <f t="shared" si="26"/>
        <v>N/D</v>
      </c>
      <c r="AA145" s="182" t="str">
        <f t="shared" si="26"/>
        <v>N/D</v>
      </c>
      <c r="AB145" s="182" t="str">
        <f t="shared" si="26"/>
        <v>N/D</v>
      </c>
      <c r="AC145" s="182" t="str">
        <f t="shared" si="26"/>
        <v>N/D</v>
      </c>
      <c r="AD145" s="182" t="str">
        <f t="shared" si="26"/>
        <v>N/D</v>
      </c>
      <c r="AE145" s="182" t="str">
        <f t="shared" si="26"/>
        <v>N/D</v>
      </c>
      <c r="AF145" s="182" t="str">
        <f t="shared" si="26"/>
        <v>N/D</v>
      </c>
      <c r="AG145" s="182" t="str">
        <f t="shared" si="26"/>
        <v>N/D</v>
      </c>
      <c r="AH145" s="182" t="str">
        <f t="shared" si="26"/>
        <v>N/D</v>
      </c>
      <c r="AI145" s="182" t="str">
        <f t="shared" si="26"/>
        <v>N/D</v>
      </c>
      <c r="AJ145" s="182" t="str">
        <f t="shared" si="26"/>
        <v>N/D</v>
      </c>
      <c r="AK145" s="182" t="str">
        <f t="shared" si="26"/>
        <v>N/D</v>
      </c>
      <c r="AL145" s="183" t="str">
        <f t="shared" si="26"/>
        <v>N/D</v>
      </c>
    </row>
    <row r="146" spans="2:38" ht="14.25" hidden="1" outlineLevel="2">
      <c r="B146" s="175" t="s">
        <v>385</v>
      </c>
      <c r="C146" s="176" t="s">
        <v>385</v>
      </c>
      <c r="D146" s="191" t="s">
        <v>386</v>
      </c>
      <c r="E146" s="178" t="s">
        <v>71</v>
      </c>
      <c r="F146" s="179" t="s">
        <v>71</v>
      </c>
      <c r="G146" s="179" t="s">
        <v>71</v>
      </c>
      <c r="H146" s="180" t="s">
        <v>71</v>
      </c>
      <c r="I146" s="181" t="str">
        <f aca="true" t="shared" si="27" ref="I146:AL147">IF(I74&gt;=I75,"OK","BŁĄD")</f>
        <v>OK</v>
      </c>
      <c r="J146" s="182" t="str">
        <f t="shared" si="27"/>
        <v>OK</v>
      </c>
      <c r="K146" s="182" t="str">
        <f t="shared" si="27"/>
        <v>OK</v>
      </c>
      <c r="L146" s="182" t="str">
        <f t="shared" si="27"/>
        <v>OK</v>
      </c>
      <c r="M146" s="182" t="str">
        <f t="shared" si="27"/>
        <v>OK</v>
      </c>
      <c r="N146" s="182" t="str">
        <f t="shared" si="27"/>
        <v>OK</v>
      </c>
      <c r="O146" s="182" t="str">
        <f t="shared" si="27"/>
        <v>OK</v>
      </c>
      <c r="P146" s="182" t="str">
        <f t="shared" si="27"/>
        <v>OK</v>
      </c>
      <c r="Q146" s="182" t="str">
        <f t="shared" si="27"/>
        <v>OK</v>
      </c>
      <c r="R146" s="182" t="str">
        <f t="shared" si="27"/>
        <v>OK</v>
      </c>
      <c r="S146" s="182" t="str">
        <f t="shared" si="27"/>
        <v>OK</v>
      </c>
      <c r="T146" s="182" t="str">
        <f t="shared" si="27"/>
        <v>OK</v>
      </c>
      <c r="U146" s="182" t="str">
        <f t="shared" si="27"/>
        <v>OK</v>
      </c>
      <c r="V146" s="182" t="str">
        <f t="shared" si="27"/>
        <v>OK</v>
      </c>
      <c r="W146" s="182" t="str">
        <f t="shared" si="27"/>
        <v>OK</v>
      </c>
      <c r="X146" s="182" t="str">
        <f t="shared" si="27"/>
        <v>OK</v>
      </c>
      <c r="Y146" s="182" t="str">
        <f t="shared" si="27"/>
        <v>OK</v>
      </c>
      <c r="Z146" s="182" t="str">
        <f t="shared" si="27"/>
        <v>OK</v>
      </c>
      <c r="AA146" s="182" t="str">
        <f t="shared" si="27"/>
        <v>OK</v>
      </c>
      <c r="AB146" s="182" t="str">
        <f t="shared" si="27"/>
        <v>OK</v>
      </c>
      <c r="AC146" s="182" t="str">
        <f t="shared" si="27"/>
        <v>OK</v>
      </c>
      <c r="AD146" s="182" t="str">
        <f t="shared" si="27"/>
        <v>OK</v>
      </c>
      <c r="AE146" s="182" t="str">
        <f t="shared" si="27"/>
        <v>OK</v>
      </c>
      <c r="AF146" s="182" t="str">
        <f t="shared" si="27"/>
        <v>OK</v>
      </c>
      <c r="AG146" s="182" t="str">
        <f t="shared" si="27"/>
        <v>OK</v>
      </c>
      <c r="AH146" s="182" t="str">
        <f t="shared" si="27"/>
        <v>OK</v>
      </c>
      <c r="AI146" s="182" t="str">
        <f t="shared" si="27"/>
        <v>OK</v>
      </c>
      <c r="AJ146" s="182" t="str">
        <f t="shared" si="27"/>
        <v>OK</v>
      </c>
      <c r="AK146" s="182" t="str">
        <f t="shared" si="27"/>
        <v>OK</v>
      </c>
      <c r="AL146" s="183" t="str">
        <f t="shared" si="27"/>
        <v>OK</v>
      </c>
    </row>
    <row r="147" spans="2:38" ht="14.25" hidden="1" outlineLevel="2">
      <c r="B147" s="175" t="s">
        <v>387</v>
      </c>
      <c r="C147" s="176" t="s">
        <v>387</v>
      </c>
      <c r="D147" s="191" t="s">
        <v>388</v>
      </c>
      <c r="E147" s="178" t="s">
        <v>71</v>
      </c>
      <c r="F147" s="179" t="s">
        <v>71</v>
      </c>
      <c r="G147" s="179" t="s">
        <v>71</v>
      </c>
      <c r="H147" s="180" t="s">
        <v>71</v>
      </c>
      <c r="I147" s="181" t="str">
        <f t="shared" si="27"/>
        <v>OK</v>
      </c>
      <c r="J147" s="182" t="str">
        <f t="shared" si="27"/>
        <v>OK</v>
      </c>
      <c r="K147" s="182" t="str">
        <f t="shared" si="27"/>
        <v>OK</v>
      </c>
      <c r="L147" s="182" t="str">
        <f t="shared" si="27"/>
        <v>OK</v>
      </c>
      <c r="M147" s="182" t="str">
        <f t="shared" si="27"/>
        <v>OK</v>
      </c>
      <c r="N147" s="182" t="str">
        <f t="shared" si="27"/>
        <v>OK</v>
      </c>
      <c r="O147" s="182" t="str">
        <f t="shared" si="27"/>
        <v>OK</v>
      </c>
      <c r="P147" s="182" t="str">
        <f t="shared" si="27"/>
        <v>OK</v>
      </c>
      <c r="Q147" s="182" t="str">
        <f t="shared" si="27"/>
        <v>OK</v>
      </c>
      <c r="R147" s="182" t="str">
        <f t="shared" si="27"/>
        <v>OK</v>
      </c>
      <c r="S147" s="182" t="str">
        <f t="shared" si="27"/>
        <v>OK</v>
      </c>
      <c r="T147" s="182" t="str">
        <f t="shared" si="27"/>
        <v>OK</v>
      </c>
      <c r="U147" s="182" t="str">
        <f t="shared" si="27"/>
        <v>OK</v>
      </c>
      <c r="V147" s="182" t="str">
        <f t="shared" si="27"/>
        <v>OK</v>
      </c>
      <c r="W147" s="182" t="str">
        <f t="shared" si="27"/>
        <v>OK</v>
      </c>
      <c r="X147" s="182" t="str">
        <f t="shared" si="27"/>
        <v>OK</v>
      </c>
      <c r="Y147" s="182" t="str">
        <f t="shared" si="27"/>
        <v>OK</v>
      </c>
      <c r="Z147" s="182" t="str">
        <f t="shared" si="27"/>
        <v>OK</v>
      </c>
      <c r="AA147" s="182" t="str">
        <f t="shared" si="27"/>
        <v>OK</v>
      </c>
      <c r="AB147" s="182" t="str">
        <f t="shared" si="27"/>
        <v>OK</v>
      </c>
      <c r="AC147" s="182" t="str">
        <f t="shared" si="27"/>
        <v>OK</v>
      </c>
      <c r="AD147" s="182" t="str">
        <f t="shared" si="27"/>
        <v>OK</v>
      </c>
      <c r="AE147" s="182" t="str">
        <f t="shared" si="27"/>
        <v>OK</v>
      </c>
      <c r="AF147" s="182" t="str">
        <f t="shared" si="27"/>
        <v>OK</v>
      </c>
      <c r="AG147" s="182" t="str">
        <f t="shared" si="27"/>
        <v>OK</v>
      </c>
      <c r="AH147" s="182" t="str">
        <f t="shared" si="27"/>
        <v>OK</v>
      </c>
      <c r="AI147" s="182" t="str">
        <f t="shared" si="27"/>
        <v>OK</v>
      </c>
      <c r="AJ147" s="182" t="str">
        <f t="shared" si="27"/>
        <v>OK</v>
      </c>
      <c r="AK147" s="182" t="str">
        <f t="shared" si="27"/>
        <v>OK</v>
      </c>
      <c r="AL147" s="183" t="str">
        <f t="shared" si="27"/>
        <v>OK</v>
      </c>
    </row>
    <row r="148" spans="2:38" ht="14.25" hidden="1" outlineLevel="2">
      <c r="B148" s="175" t="s">
        <v>389</v>
      </c>
      <c r="C148" s="176" t="s">
        <v>389</v>
      </c>
      <c r="D148" s="191" t="s">
        <v>390</v>
      </c>
      <c r="E148" s="178" t="s">
        <v>71</v>
      </c>
      <c r="F148" s="179" t="s">
        <v>71</v>
      </c>
      <c r="G148" s="179" t="s">
        <v>71</v>
      </c>
      <c r="H148" s="180" t="s">
        <v>71</v>
      </c>
      <c r="I148" s="181" t="str">
        <f aca="true" t="shared" si="28" ref="I148:AL149">IF(I77&gt;=I78,"OK","BŁĄD")</f>
        <v>OK</v>
      </c>
      <c r="J148" s="182" t="str">
        <f t="shared" si="28"/>
        <v>OK</v>
      </c>
      <c r="K148" s="182" t="str">
        <f t="shared" si="28"/>
        <v>OK</v>
      </c>
      <c r="L148" s="182" t="str">
        <f t="shared" si="28"/>
        <v>OK</v>
      </c>
      <c r="M148" s="182" t="str">
        <f t="shared" si="28"/>
        <v>OK</v>
      </c>
      <c r="N148" s="182" t="str">
        <f t="shared" si="28"/>
        <v>OK</v>
      </c>
      <c r="O148" s="182" t="str">
        <f t="shared" si="28"/>
        <v>OK</v>
      </c>
      <c r="P148" s="182" t="str">
        <f t="shared" si="28"/>
        <v>OK</v>
      </c>
      <c r="Q148" s="182" t="str">
        <f t="shared" si="28"/>
        <v>OK</v>
      </c>
      <c r="R148" s="182" t="str">
        <f t="shared" si="28"/>
        <v>OK</v>
      </c>
      <c r="S148" s="182" t="str">
        <f t="shared" si="28"/>
        <v>OK</v>
      </c>
      <c r="T148" s="182" t="str">
        <f t="shared" si="28"/>
        <v>OK</v>
      </c>
      <c r="U148" s="182" t="str">
        <f t="shared" si="28"/>
        <v>OK</v>
      </c>
      <c r="V148" s="182" t="str">
        <f t="shared" si="28"/>
        <v>OK</v>
      </c>
      <c r="W148" s="182" t="str">
        <f t="shared" si="28"/>
        <v>OK</v>
      </c>
      <c r="X148" s="182" t="str">
        <f t="shared" si="28"/>
        <v>OK</v>
      </c>
      <c r="Y148" s="182" t="str">
        <f t="shared" si="28"/>
        <v>OK</v>
      </c>
      <c r="Z148" s="182" t="str">
        <f t="shared" si="28"/>
        <v>OK</v>
      </c>
      <c r="AA148" s="182" t="str">
        <f t="shared" si="28"/>
        <v>OK</v>
      </c>
      <c r="AB148" s="182" t="str">
        <f t="shared" si="28"/>
        <v>OK</v>
      </c>
      <c r="AC148" s="182" t="str">
        <f t="shared" si="28"/>
        <v>OK</v>
      </c>
      <c r="AD148" s="182" t="str">
        <f t="shared" si="28"/>
        <v>OK</v>
      </c>
      <c r="AE148" s="182" t="str">
        <f t="shared" si="28"/>
        <v>OK</v>
      </c>
      <c r="AF148" s="182" t="str">
        <f t="shared" si="28"/>
        <v>OK</v>
      </c>
      <c r="AG148" s="182" t="str">
        <f t="shared" si="28"/>
        <v>OK</v>
      </c>
      <c r="AH148" s="182" t="str">
        <f t="shared" si="28"/>
        <v>OK</v>
      </c>
      <c r="AI148" s="182" t="str">
        <f t="shared" si="28"/>
        <v>OK</v>
      </c>
      <c r="AJ148" s="182" t="str">
        <f t="shared" si="28"/>
        <v>OK</v>
      </c>
      <c r="AK148" s="182" t="str">
        <f t="shared" si="28"/>
        <v>OK</v>
      </c>
      <c r="AL148" s="183" t="str">
        <f t="shared" si="28"/>
        <v>OK</v>
      </c>
    </row>
    <row r="149" spans="2:38" ht="14.25" hidden="1" outlineLevel="2">
      <c r="B149" s="175" t="s">
        <v>391</v>
      </c>
      <c r="C149" s="176" t="s">
        <v>391</v>
      </c>
      <c r="D149" s="191" t="s">
        <v>392</v>
      </c>
      <c r="E149" s="178" t="s">
        <v>71</v>
      </c>
      <c r="F149" s="179" t="s">
        <v>71</v>
      </c>
      <c r="G149" s="179" t="s">
        <v>71</v>
      </c>
      <c r="H149" s="180" t="s">
        <v>71</v>
      </c>
      <c r="I149" s="181" t="str">
        <f t="shared" si="28"/>
        <v>OK</v>
      </c>
      <c r="J149" s="182" t="str">
        <f t="shared" si="28"/>
        <v>OK</v>
      </c>
      <c r="K149" s="182" t="str">
        <f t="shared" si="28"/>
        <v>OK</v>
      </c>
      <c r="L149" s="182" t="str">
        <f t="shared" si="28"/>
        <v>OK</v>
      </c>
      <c r="M149" s="182" t="str">
        <f t="shared" si="28"/>
        <v>OK</v>
      </c>
      <c r="N149" s="182" t="str">
        <f t="shared" si="28"/>
        <v>OK</v>
      </c>
      <c r="O149" s="182" t="str">
        <f t="shared" si="28"/>
        <v>OK</v>
      </c>
      <c r="P149" s="182" t="str">
        <f t="shared" si="28"/>
        <v>OK</v>
      </c>
      <c r="Q149" s="182" t="str">
        <f t="shared" si="28"/>
        <v>OK</v>
      </c>
      <c r="R149" s="182" t="str">
        <f t="shared" si="28"/>
        <v>OK</v>
      </c>
      <c r="S149" s="182" t="str">
        <f t="shared" si="28"/>
        <v>OK</v>
      </c>
      <c r="T149" s="182" t="str">
        <f t="shared" si="28"/>
        <v>OK</v>
      </c>
      <c r="U149" s="182" t="str">
        <f t="shared" si="28"/>
        <v>OK</v>
      </c>
      <c r="V149" s="182" t="str">
        <f t="shared" si="28"/>
        <v>OK</v>
      </c>
      <c r="W149" s="182" t="str">
        <f t="shared" si="28"/>
        <v>OK</v>
      </c>
      <c r="X149" s="182" t="str">
        <f t="shared" si="28"/>
        <v>OK</v>
      </c>
      <c r="Y149" s="182" t="str">
        <f t="shared" si="28"/>
        <v>OK</v>
      </c>
      <c r="Z149" s="182" t="str">
        <f t="shared" si="28"/>
        <v>OK</v>
      </c>
      <c r="AA149" s="182" t="str">
        <f t="shared" si="28"/>
        <v>OK</v>
      </c>
      <c r="AB149" s="182" t="str">
        <f t="shared" si="28"/>
        <v>OK</v>
      </c>
      <c r="AC149" s="182" t="str">
        <f t="shared" si="28"/>
        <v>OK</v>
      </c>
      <c r="AD149" s="182" t="str">
        <f t="shared" si="28"/>
        <v>OK</v>
      </c>
      <c r="AE149" s="182" t="str">
        <f t="shared" si="28"/>
        <v>OK</v>
      </c>
      <c r="AF149" s="182" t="str">
        <f t="shared" si="28"/>
        <v>OK</v>
      </c>
      <c r="AG149" s="182" t="str">
        <f t="shared" si="28"/>
        <v>OK</v>
      </c>
      <c r="AH149" s="182" t="str">
        <f t="shared" si="28"/>
        <v>OK</v>
      </c>
      <c r="AI149" s="182" t="str">
        <f t="shared" si="28"/>
        <v>OK</v>
      </c>
      <c r="AJ149" s="182" t="str">
        <f t="shared" si="28"/>
        <v>OK</v>
      </c>
      <c r="AK149" s="182" t="str">
        <f t="shared" si="28"/>
        <v>OK</v>
      </c>
      <c r="AL149" s="183" t="str">
        <f t="shared" si="28"/>
        <v>OK</v>
      </c>
    </row>
    <row r="150" spans="2:38" ht="14.25" hidden="1" outlineLevel="2">
      <c r="B150" s="175" t="s">
        <v>393</v>
      </c>
      <c r="C150" s="176" t="s">
        <v>393</v>
      </c>
      <c r="D150" s="191" t="s">
        <v>394</v>
      </c>
      <c r="E150" s="178" t="s">
        <v>71</v>
      </c>
      <c r="F150" s="179" t="s">
        <v>71</v>
      </c>
      <c r="G150" s="179" t="s">
        <v>71</v>
      </c>
      <c r="H150" s="180" t="s">
        <v>71</v>
      </c>
      <c r="I150" s="181" t="str">
        <f aca="true" t="shared" si="29" ref="I150:AL150">IF(I80&gt;=I81,"OK","BŁĄD")</f>
        <v>OK</v>
      </c>
      <c r="J150" s="182" t="str">
        <f t="shared" si="29"/>
        <v>OK</v>
      </c>
      <c r="K150" s="182" t="str">
        <f t="shared" si="29"/>
        <v>OK</v>
      </c>
      <c r="L150" s="182" t="str">
        <f t="shared" si="29"/>
        <v>OK</v>
      </c>
      <c r="M150" s="182" t="str">
        <f t="shared" si="29"/>
        <v>OK</v>
      </c>
      <c r="N150" s="182" t="str">
        <f t="shared" si="29"/>
        <v>OK</v>
      </c>
      <c r="O150" s="182" t="str">
        <f t="shared" si="29"/>
        <v>OK</v>
      </c>
      <c r="P150" s="182" t="str">
        <f t="shared" si="29"/>
        <v>OK</v>
      </c>
      <c r="Q150" s="182" t="str">
        <f t="shared" si="29"/>
        <v>OK</v>
      </c>
      <c r="R150" s="182" t="str">
        <f t="shared" si="29"/>
        <v>OK</v>
      </c>
      <c r="S150" s="182" t="str">
        <f t="shared" si="29"/>
        <v>OK</v>
      </c>
      <c r="T150" s="182" t="str">
        <f t="shared" si="29"/>
        <v>OK</v>
      </c>
      <c r="U150" s="182" t="str">
        <f t="shared" si="29"/>
        <v>OK</v>
      </c>
      <c r="V150" s="182" t="str">
        <f t="shared" si="29"/>
        <v>OK</v>
      </c>
      <c r="W150" s="182" t="str">
        <f t="shared" si="29"/>
        <v>OK</v>
      </c>
      <c r="X150" s="182" t="str">
        <f t="shared" si="29"/>
        <v>OK</v>
      </c>
      <c r="Y150" s="182" t="str">
        <f t="shared" si="29"/>
        <v>OK</v>
      </c>
      <c r="Z150" s="182" t="str">
        <f t="shared" si="29"/>
        <v>OK</v>
      </c>
      <c r="AA150" s="182" t="str">
        <f t="shared" si="29"/>
        <v>OK</v>
      </c>
      <c r="AB150" s="182" t="str">
        <f t="shared" si="29"/>
        <v>OK</v>
      </c>
      <c r="AC150" s="182" t="str">
        <f t="shared" si="29"/>
        <v>OK</v>
      </c>
      <c r="AD150" s="182" t="str">
        <f t="shared" si="29"/>
        <v>OK</v>
      </c>
      <c r="AE150" s="182" t="str">
        <f t="shared" si="29"/>
        <v>OK</v>
      </c>
      <c r="AF150" s="182" t="str">
        <f t="shared" si="29"/>
        <v>OK</v>
      </c>
      <c r="AG150" s="182" t="str">
        <f t="shared" si="29"/>
        <v>OK</v>
      </c>
      <c r="AH150" s="182" t="str">
        <f t="shared" si="29"/>
        <v>OK</v>
      </c>
      <c r="AI150" s="182" t="str">
        <f t="shared" si="29"/>
        <v>OK</v>
      </c>
      <c r="AJ150" s="182" t="str">
        <f t="shared" si="29"/>
        <v>OK</v>
      </c>
      <c r="AK150" s="182" t="str">
        <f t="shared" si="29"/>
        <v>OK</v>
      </c>
      <c r="AL150" s="183" t="str">
        <f t="shared" si="29"/>
        <v>OK</v>
      </c>
    </row>
    <row r="151" spans="2:38" ht="14.25" hidden="1" outlineLevel="2">
      <c r="B151" s="175" t="s">
        <v>395</v>
      </c>
      <c r="C151" s="176" t="s">
        <v>395</v>
      </c>
      <c r="D151" s="191" t="s">
        <v>396</v>
      </c>
      <c r="E151" s="178" t="s">
        <v>71</v>
      </c>
      <c r="F151" s="179" t="s">
        <v>71</v>
      </c>
      <c r="G151" s="179" t="s">
        <v>71</v>
      </c>
      <c r="H151" s="180" t="s">
        <v>71</v>
      </c>
      <c r="I151" s="181" t="str">
        <f aca="true" t="shared" si="30" ref="I151:AL151">IF(I80&gt;=I82,"OK","BŁĄD")</f>
        <v>OK</v>
      </c>
      <c r="J151" s="182" t="str">
        <f t="shared" si="30"/>
        <v>OK</v>
      </c>
      <c r="K151" s="182" t="str">
        <f t="shared" si="30"/>
        <v>OK</v>
      </c>
      <c r="L151" s="182" t="str">
        <f t="shared" si="30"/>
        <v>OK</v>
      </c>
      <c r="M151" s="182" t="str">
        <f t="shared" si="30"/>
        <v>OK</v>
      </c>
      <c r="N151" s="182" t="str">
        <f t="shared" si="30"/>
        <v>OK</v>
      </c>
      <c r="O151" s="182" t="str">
        <f t="shared" si="30"/>
        <v>OK</v>
      </c>
      <c r="P151" s="182" t="str">
        <f t="shared" si="30"/>
        <v>OK</v>
      </c>
      <c r="Q151" s="182" t="str">
        <f t="shared" si="30"/>
        <v>OK</v>
      </c>
      <c r="R151" s="182" t="str">
        <f t="shared" si="30"/>
        <v>OK</v>
      </c>
      <c r="S151" s="182" t="str">
        <f t="shared" si="30"/>
        <v>OK</v>
      </c>
      <c r="T151" s="182" t="str">
        <f t="shared" si="30"/>
        <v>OK</v>
      </c>
      <c r="U151" s="182" t="str">
        <f t="shared" si="30"/>
        <v>OK</v>
      </c>
      <c r="V151" s="182" t="str">
        <f t="shared" si="30"/>
        <v>OK</v>
      </c>
      <c r="W151" s="182" t="str">
        <f t="shared" si="30"/>
        <v>OK</v>
      </c>
      <c r="X151" s="182" t="str">
        <f t="shared" si="30"/>
        <v>OK</v>
      </c>
      <c r="Y151" s="182" t="str">
        <f t="shared" si="30"/>
        <v>OK</v>
      </c>
      <c r="Z151" s="182" t="str">
        <f t="shared" si="30"/>
        <v>OK</v>
      </c>
      <c r="AA151" s="182" t="str">
        <f t="shared" si="30"/>
        <v>OK</v>
      </c>
      <c r="AB151" s="182" t="str">
        <f t="shared" si="30"/>
        <v>OK</v>
      </c>
      <c r="AC151" s="182" t="str">
        <f t="shared" si="30"/>
        <v>OK</v>
      </c>
      <c r="AD151" s="182" t="str">
        <f t="shared" si="30"/>
        <v>OK</v>
      </c>
      <c r="AE151" s="182" t="str">
        <f t="shared" si="30"/>
        <v>OK</v>
      </c>
      <c r="AF151" s="182" t="str">
        <f t="shared" si="30"/>
        <v>OK</v>
      </c>
      <c r="AG151" s="182" t="str">
        <f t="shared" si="30"/>
        <v>OK</v>
      </c>
      <c r="AH151" s="182" t="str">
        <f t="shared" si="30"/>
        <v>OK</v>
      </c>
      <c r="AI151" s="182" t="str">
        <f t="shared" si="30"/>
        <v>OK</v>
      </c>
      <c r="AJ151" s="182" t="str">
        <f t="shared" si="30"/>
        <v>OK</v>
      </c>
      <c r="AK151" s="182" t="str">
        <f t="shared" si="30"/>
        <v>OK</v>
      </c>
      <c r="AL151" s="183" t="str">
        <f t="shared" si="30"/>
        <v>OK</v>
      </c>
    </row>
    <row r="152" spans="2:38" ht="14.25" hidden="1" outlineLevel="2">
      <c r="B152" s="175" t="s">
        <v>397</v>
      </c>
      <c r="C152" s="176" t="s">
        <v>397</v>
      </c>
      <c r="D152" s="191" t="s">
        <v>398</v>
      </c>
      <c r="E152" s="178" t="s">
        <v>71</v>
      </c>
      <c r="F152" s="179" t="s">
        <v>71</v>
      </c>
      <c r="G152" s="179" t="s">
        <v>71</v>
      </c>
      <c r="H152" s="180" t="s">
        <v>71</v>
      </c>
      <c r="I152" s="181" t="str">
        <f aca="true" t="shared" si="31" ref="I152:AL152">IF(I83&gt;=I84,"OK","BŁĄD")</f>
        <v>OK</v>
      </c>
      <c r="J152" s="182" t="str">
        <f t="shared" si="31"/>
        <v>OK</v>
      </c>
      <c r="K152" s="182" t="str">
        <f t="shared" si="31"/>
        <v>OK</v>
      </c>
      <c r="L152" s="182" t="str">
        <f t="shared" si="31"/>
        <v>OK</v>
      </c>
      <c r="M152" s="182" t="str">
        <f t="shared" si="31"/>
        <v>OK</v>
      </c>
      <c r="N152" s="182" t="str">
        <f t="shared" si="31"/>
        <v>OK</v>
      </c>
      <c r="O152" s="182" t="str">
        <f t="shared" si="31"/>
        <v>OK</v>
      </c>
      <c r="P152" s="182" t="str">
        <f t="shared" si="31"/>
        <v>OK</v>
      </c>
      <c r="Q152" s="182" t="str">
        <f t="shared" si="31"/>
        <v>OK</v>
      </c>
      <c r="R152" s="182" t="str">
        <f t="shared" si="31"/>
        <v>OK</v>
      </c>
      <c r="S152" s="182" t="str">
        <f t="shared" si="31"/>
        <v>OK</v>
      </c>
      <c r="T152" s="182" t="str">
        <f t="shared" si="31"/>
        <v>OK</v>
      </c>
      <c r="U152" s="182" t="str">
        <f t="shared" si="31"/>
        <v>OK</v>
      </c>
      <c r="V152" s="182" t="str">
        <f t="shared" si="31"/>
        <v>OK</v>
      </c>
      <c r="W152" s="182" t="str">
        <f t="shared" si="31"/>
        <v>OK</v>
      </c>
      <c r="X152" s="182" t="str">
        <f t="shared" si="31"/>
        <v>OK</v>
      </c>
      <c r="Y152" s="182" t="str">
        <f t="shared" si="31"/>
        <v>OK</v>
      </c>
      <c r="Z152" s="182" t="str">
        <f t="shared" si="31"/>
        <v>OK</v>
      </c>
      <c r="AA152" s="182" t="str">
        <f t="shared" si="31"/>
        <v>OK</v>
      </c>
      <c r="AB152" s="182" t="str">
        <f t="shared" si="31"/>
        <v>OK</v>
      </c>
      <c r="AC152" s="182" t="str">
        <f t="shared" si="31"/>
        <v>OK</v>
      </c>
      <c r="AD152" s="182" t="str">
        <f t="shared" si="31"/>
        <v>OK</v>
      </c>
      <c r="AE152" s="182" t="str">
        <f t="shared" si="31"/>
        <v>OK</v>
      </c>
      <c r="AF152" s="182" t="str">
        <f t="shared" si="31"/>
        <v>OK</v>
      </c>
      <c r="AG152" s="182" t="str">
        <f t="shared" si="31"/>
        <v>OK</v>
      </c>
      <c r="AH152" s="182" t="str">
        <f t="shared" si="31"/>
        <v>OK</v>
      </c>
      <c r="AI152" s="182" t="str">
        <f t="shared" si="31"/>
        <v>OK</v>
      </c>
      <c r="AJ152" s="182" t="str">
        <f t="shared" si="31"/>
        <v>OK</v>
      </c>
      <c r="AK152" s="182" t="str">
        <f t="shared" si="31"/>
        <v>OK</v>
      </c>
      <c r="AL152" s="183" t="str">
        <f t="shared" si="31"/>
        <v>OK</v>
      </c>
    </row>
    <row r="153" spans="2:38" ht="14.25" hidden="1" outlineLevel="2">
      <c r="B153" s="175" t="s">
        <v>399</v>
      </c>
      <c r="C153" s="176" t="s">
        <v>399</v>
      </c>
      <c r="D153" s="191" t="s">
        <v>400</v>
      </c>
      <c r="E153" s="178" t="s">
        <v>71</v>
      </c>
      <c r="F153" s="179" t="s">
        <v>71</v>
      </c>
      <c r="G153" s="179" t="s">
        <v>71</v>
      </c>
      <c r="H153" s="180" t="s">
        <v>71</v>
      </c>
      <c r="I153" s="181" t="str">
        <f aca="true" t="shared" si="32" ref="I153:AL153">IF(I83&gt;=I85,"OK","BŁĄD")</f>
        <v>OK</v>
      </c>
      <c r="J153" s="182" t="str">
        <f t="shared" si="32"/>
        <v>OK</v>
      </c>
      <c r="K153" s="182" t="str">
        <f t="shared" si="32"/>
        <v>OK</v>
      </c>
      <c r="L153" s="182" t="str">
        <f t="shared" si="32"/>
        <v>OK</v>
      </c>
      <c r="M153" s="182" t="str">
        <f t="shared" si="32"/>
        <v>OK</v>
      </c>
      <c r="N153" s="182" t="str">
        <f t="shared" si="32"/>
        <v>OK</v>
      </c>
      <c r="O153" s="182" t="str">
        <f t="shared" si="32"/>
        <v>OK</v>
      </c>
      <c r="P153" s="182" t="str">
        <f t="shared" si="32"/>
        <v>OK</v>
      </c>
      <c r="Q153" s="182" t="str">
        <f t="shared" si="32"/>
        <v>OK</v>
      </c>
      <c r="R153" s="182" t="str">
        <f t="shared" si="32"/>
        <v>OK</v>
      </c>
      <c r="S153" s="182" t="str">
        <f t="shared" si="32"/>
        <v>OK</v>
      </c>
      <c r="T153" s="182" t="str">
        <f t="shared" si="32"/>
        <v>OK</v>
      </c>
      <c r="U153" s="182" t="str">
        <f t="shared" si="32"/>
        <v>OK</v>
      </c>
      <c r="V153" s="182" t="str">
        <f t="shared" si="32"/>
        <v>OK</v>
      </c>
      <c r="W153" s="182" t="str">
        <f t="shared" si="32"/>
        <v>OK</v>
      </c>
      <c r="X153" s="182" t="str">
        <f t="shared" si="32"/>
        <v>OK</v>
      </c>
      <c r="Y153" s="182" t="str">
        <f t="shared" si="32"/>
        <v>OK</v>
      </c>
      <c r="Z153" s="182" t="str">
        <f t="shared" si="32"/>
        <v>OK</v>
      </c>
      <c r="AA153" s="182" t="str">
        <f t="shared" si="32"/>
        <v>OK</v>
      </c>
      <c r="AB153" s="182" t="str">
        <f t="shared" si="32"/>
        <v>OK</v>
      </c>
      <c r="AC153" s="182" t="str">
        <f t="shared" si="32"/>
        <v>OK</v>
      </c>
      <c r="AD153" s="182" t="str">
        <f t="shared" si="32"/>
        <v>OK</v>
      </c>
      <c r="AE153" s="182" t="str">
        <f t="shared" si="32"/>
        <v>OK</v>
      </c>
      <c r="AF153" s="182" t="str">
        <f t="shared" si="32"/>
        <v>OK</v>
      </c>
      <c r="AG153" s="182" t="str">
        <f t="shared" si="32"/>
        <v>OK</v>
      </c>
      <c r="AH153" s="182" t="str">
        <f t="shared" si="32"/>
        <v>OK</v>
      </c>
      <c r="AI153" s="182" t="str">
        <f t="shared" si="32"/>
        <v>OK</v>
      </c>
      <c r="AJ153" s="182" t="str">
        <f t="shared" si="32"/>
        <v>OK</v>
      </c>
      <c r="AK153" s="182" t="str">
        <f t="shared" si="32"/>
        <v>OK</v>
      </c>
      <c r="AL153" s="183" t="str">
        <f t="shared" si="32"/>
        <v>OK</v>
      </c>
    </row>
    <row r="154" spans="2:38" ht="14.25" hidden="1" outlineLevel="2">
      <c r="B154" s="175" t="s">
        <v>397</v>
      </c>
      <c r="C154" s="176" t="s">
        <v>397</v>
      </c>
      <c r="D154" s="191" t="s">
        <v>401</v>
      </c>
      <c r="E154" s="178" t="s">
        <v>71</v>
      </c>
      <c r="F154" s="179" t="s">
        <v>71</v>
      </c>
      <c r="G154" s="179" t="s">
        <v>71</v>
      </c>
      <c r="H154" s="180" t="s">
        <v>71</v>
      </c>
      <c r="I154" s="181" t="str">
        <f>IF(I86&gt;=I87,"OK","BŁĄD")</f>
        <v>OK</v>
      </c>
      <c r="J154" s="182" t="str">
        <f aca="true" t="shared" si="33" ref="J154:AL154">IF(J86&gt;=J87,"OK","BŁĄD")</f>
        <v>OK</v>
      </c>
      <c r="K154" s="182" t="str">
        <f t="shared" si="33"/>
        <v>OK</v>
      </c>
      <c r="L154" s="182" t="str">
        <f t="shared" si="33"/>
        <v>OK</v>
      </c>
      <c r="M154" s="182" t="str">
        <f t="shared" si="33"/>
        <v>OK</v>
      </c>
      <c r="N154" s="182" t="str">
        <f t="shared" si="33"/>
        <v>OK</v>
      </c>
      <c r="O154" s="182" t="str">
        <f t="shared" si="33"/>
        <v>OK</v>
      </c>
      <c r="P154" s="182" t="str">
        <f t="shared" si="33"/>
        <v>OK</v>
      </c>
      <c r="Q154" s="182" t="str">
        <f t="shared" si="33"/>
        <v>OK</v>
      </c>
      <c r="R154" s="182" t="str">
        <f t="shared" si="33"/>
        <v>OK</v>
      </c>
      <c r="S154" s="182" t="str">
        <f t="shared" si="33"/>
        <v>OK</v>
      </c>
      <c r="T154" s="182" t="str">
        <f t="shared" si="33"/>
        <v>OK</v>
      </c>
      <c r="U154" s="182" t="str">
        <f t="shared" si="33"/>
        <v>OK</v>
      </c>
      <c r="V154" s="182" t="str">
        <f t="shared" si="33"/>
        <v>OK</v>
      </c>
      <c r="W154" s="182" t="str">
        <f t="shared" si="33"/>
        <v>OK</v>
      </c>
      <c r="X154" s="182" t="str">
        <f t="shared" si="33"/>
        <v>OK</v>
      </c>
      <c r="Y154" s="182" t="str">
        <f t="shared" si="33"/>
        <v>OK</v>
      </c>
      <c r="Z154" s="182" t="str">
        <f t="shared" si="33"/>
        <v>OK</v>
      </c>
      <c r="AA154" s="182" t="str">
        <f t="shared" si="33"/>
        <v>OK</v>
      </c>
      <c r="AB154" s="182" t="str">
        <f t="shared" si="33"/>
        <v>OK</v>
      </c>
      <c r="AC154" s="182" t="str">
        <f t="shared" si="33"/>
        <v>OK</v>
      </c>
      <c r="AD154" s="182" t="str">
        <f t="shared" si="33"/>
        <v>OK</v>
      </c>
      <c r="AE154" s="182" t="str">
        <f t="shared" si="33"/>
        <v>OK</v>
      </c>
      <c r="AF154" s="182" t="str">
        <f t="shared" si="33"/>
        <v>OK</v>
      </c>
      <c r="AG154" s="182" t="str">
        <f t="shared" si="33"/>
        <v>OK</v>
      </c>
      <c r="AH154" s="182" t="str">
        <f t="shared" si="33"/>
        <v>OK</v>
      </c>
      <c r="AI154" s="182" t="str">
        <f t="shared" si="33"/>
        <v>OK</v>
      </c>
      <c r="AJ154" s="182" t="str">
        <f t="shared" si="33"/>
        <v>OK</v>
      </c>
      <c r="AK154" s="182" t="str">
        <f t="shared" si="33"/>
        <v>OK</v>
      </c>
      <c r="AL154" s="183" t="str">
        <f t="shared" si="33"/>
        <v>OK</v>
      </c>
    </row>
    <row r="155" spans="2:38" ht="14.25" hidden="1" outlineLevel="2">
      <c r="B155" s="175" t="s">
        <v>397</v>
      </c>
      <c r="C155" s="176" t="s">
        <v>397</v>
      </c>
      <c r="D155" s="191" t="s">
        <v>402</v>
      </c>
      <c r="E155" s="178" t="s">
        <v>71</v>
      </c>
      <c r="F155" s="179" t="s">
        <v>71</v>
      </c>
      <c r="G155" s="179" t="s">
        <v>71</v>
      </c>
      <c r="H155" s="180" t="s">
        <v>71</v>
      </c>
      <c r="I155" s="181" t="str">
        <f>IF(I88&gt;=I89,"OK","BŁĄD")</f>
        <v>OK</v>
      </c>
      <c r="J155" s="182" t="str">
        <f aca="true" t="shared" si="34" ref="J155:AL155">IF(J88&gt;=J89,"OK","BŁĄD")</f>
        <v>OK</v>
      </c>
      <c r="K155" s="182" t="str">
        <f t="shared" si="34"/>
        <v>OK</v>
      </c>
      <c r="L155" s="182" t="str">
        <f t="shared" si="34"/>
        <v>OK</v>
      </c>
      <c r="M155" s="182" t="str">
        <f t="shared" si="34"/>
        <v>OK</v>
      </c>
      <c r="N155" s="182" t="str">
        <f t="shared" si="34"/>
        <v>OK</v>
      </c>
      <c r="O155" s="182" t="str">
        <f t="shared" si="34"/>
        <v>OK</v>
      </c>
      <c r="P155" s="182" t="str">
        <f t="shared" si="34"/>
        <v>OK</v>
      </c>
      <c r="Q155" s="182" t="str">
        <f t="shared" si="34"/>
        <v>OK</v>
      </c>
      <c r="R155" s="182" t="str">
        <f t="shared" si="34"/>
        <v>OK</v>
      </c>
      <c r="S155" s="182" t="str">
        <f t="shared" si="34"/>
        <v>OK</v>
      </c>
      <c r="T155" s="182" t="str">
        <f t="shared" si="34"/>
        <v>OK</v>
      </c>
      <c r="U155" s="182" t="str">
        <f t="shared" si="34"/>
        <v>OK</v>
      </c>
      <c r="V155" s="182" t="str">
        <f t="shared" si="34"/>
        <v>OK</v>
      </c>
      <c r="W155" s="182" t="str">
        <f t="shared" si="34"/>
        <v>OK</v>
      </c>
      <c r="X155" s="182" t="str">
        <f t="shared" si="34"/>
        <v>OK</v>
      </c>
      <c r="Y155" s="182" t="str">
        <f t="shared" si="34"/>
        <v>OK</v>
      </c>
      <c r="Z155" s="182" t="str">
        <f t="shared" si="34"/>
        <v>OK</v>
      </c>
      <c r="AA155" s="182" t="str">
        <f t="shared" si="34"/>
        <v>OK</v>
      </c>
      <c r="AB155" s="182" t="str">
        <f t="shared" si="34"/>
        <v>OK</v>
      </c>
      <c r="AC155" s="182" t="str">
        <f t="shared" si="34"/>
        <v>OK</v>
      </c>
      <c r="AD155" s="182" t="str">
        <f t="shared" si="34"/>
        <v>OK</v>
      </c>
      <c r="AE155" s="182" t="str">
        <f t="shared" si="34"/>
        <v>OK</v>
      </c>
      <c r="AF155" s="182" t="str">
        <f t="shared" si="34"/>
        <v>OK</v>
      </c>
      <c r="AG155" s="182" t="str">
        <f t="shared" si="34"/>
        <v>OK</v>
      </c>
      <c r="AH155" s="182" t="str">
        <f t="shared" si="34"/>
        <v>OK</v>
      </c>
      <c r="AI155" s="182" t="str">
        <f t="shared" si="34"/>
        <v>OK</v>
      </c>
      <c r="AJ155" s="182" t="str">
        <f t="shared" si="34"/>
        <v>OK</v>
      </c>
      <c r="AK155" s="182" t="str">
        <f t="shared" si="34"/>
        <v>OK</v>
      </c>
      <c r="AL155" s="183" t="str">
        <f t="shared" si="34"/>
        <v>OK</v>
      </c>
    </row>
    <row r="156" spans="2:38" ht="14.25" hidden="1" outlineLevel="2">
      <c r="B156" s="175" t="s">
        <v>397</v>
      </c>
      <c r="C156" s="176" t="s">
        <v>397</v>
      </c>
      <c r="D156" s="191" t="s">
        <v>403</v>
      </c>
      <c r="E156" s="178" t="s">
        <v>71</v>
      </c>
      <c r="F156" s="179" t="s">
        <v>71</v>
      </c>
      <c r="G156" s="179" t="s">
        <v>71</v>
      </c>
      <c r="H156" s="180" t="s">
        <v>71</v>
      </c>
      <c r="I156" s="181" t="str">
        <f>IF(I90&gt;=I91,"OK","BŁĄD")</f>
        <v>OK</v>
      </c>
      <c r="J156" s="182" t="str">
        <f aca="true" t="shared" si="35" ref="J156:AL156">IF(J90&gt;=J91,"OK","BŁĄD")</f>
        <v>OK</v>
      </c>
      <c r="K156" s="182" t="str">
        <f t="shared" si="35"/>
        <v>OK</v>
      </c>
      <c r="L156" s="182" t="str">
        <f t="shared" si="35"/>
        <v>OK</v>
      </c>
      <c r="M156" s="182" t="str">
        <f t="shared" si="35"/>
        <v>OK</v>
      </c>
      <c r="N156" s="182" t="str">
        <f t="shared" si="35"/>
        <v>OK</v>
      </c>
      <c r="O156" s="182" t="str">
        <f t="shared" si="35"/>
        <v>OK</v>
      </c>
      <c r="P156" s="182" t="str">
        <f t="shared" si="35"/>
        <v>OK</v>
      </c>
      <c r="Q156" s="182" t="str">
        <f t="shared" si="35"/>
        <v>OK</v>
      </c>
      <c r="R156" s="182" t="str">
        <f t="shared" si="35"/>
        <v>OK</v>
      </c>
      <c r="S156" s="182" t="str">
        <f t="shared" si="35"/>
        <v>OK</v>
      </c>
      <c r="T156" s="182" t="str">
        <f t="shared" si="35"/>
        <v>OK</v>
      </c>
      <c r="U156" s="182" t="str">
        <f t="shared" si="35"/>
        <v>OK</v>
      </c>
      <c r="V156" s="182" t="str">
        <f t="shared" si="35"/>
        <v>OK</v>
      </c>
      <c r="W156" s="182" t="str">
        <f t="shared" si="35"/>
        <v>OK</v>
      </c>
      <c r="X156" s="182" t="str">
        <f t="shared" si="35"/>
        <v>OK</v>
      </c>
      <c r="Y156" s="182" t="str">
        <f t="shared" si="35"/>
        <v>OK</v>
      </c>
      <c r="Z156" s="182" t="str">
        <f t="shared" si="35"/>
        <v>OK</v>
      </c>
      <c r="AA156" s="182" t="str">
        <f t="shared" si="35"/>
        <v>OK</v>
      </c>
      <c r="AB156" s="182" t="str">
        <f t="shared" si="35"/>
        <v>OK</v>
      </c>
      <c r="AC156" s="182" t="str">
        <f t="shared" si="35"/>
        <v>OK</v>
      </c>
      <c r="AD156" s="182" t="str">
        <f t="shared" si="35"/>
        <v>OK</v>
      </c>
      <c r="AE156" s="182" t="str">
        <f t="shared" si="35"/>
        <v>OK</v>
      </c>
      <c r="AF156" s="182" t="str">
        <f t="shared" si="35"/>
        <v>OK</v>
      </c>
      <c r="AG156" s="182" t="str">
        <f t="shared" si="35"/>
        <v>OK</v>
      </c>
      <c r="AH156" s="182" t="str">
        <f t="shared" si="35"/>
        <v>OK</v>
      </c>
      <c r="AI156" s="182" t="str">
        <f t="shared" si="35"/>
        <v>OK</v>
      </c>
      <c r="AJ156" s="182" t="str">
        <f t="shared" si="35"/>
        <v>OK</v>
      </c>
      <c r="AK156" s="182" t="str">
        <f t="shared" si="35"/>
        <v>OK</v>
      </c>
      <c r="AL156" s="183" t="str">
        <f t="shared" si="35"/>
        <v>OK</v>
      </c>
    </row>
    <row r="157" spans="2:38" ht="14.25" hidden="1" outlineLevel="2">
      <c r="B157" s="175" t="s">
        <v>397</v>
      </c>
      <c r="C157" s="176" t="s">
        <v>397</v>
      </c>
      <c r="D157" s="191" t="s">
        <v>404</v>
      </c>
      <c r="E157" s="178" t="s">
        <v>71</v>
      </c>
      <c r="F157" s="179" t="s">
        <v>71</v>
      </c>
      <c r="G157" s="179" t="s">
        <v>71</v>
      </c>
      <c r="H157" s="180" t="s">
        <v>71</v>
      </c>
      <c r="I157" s="181" t="str">
        <f>IF(I92&gt;=I93,"OK","BŁĄD")</f>
        <v>OK</v>
      </c>
      <c r="J157" s="182" t="str">
        <f aca="true" t="shared" si="36" ref="J157:AL157">IF(J92&gt;=J93,"OK","BŁĄD")</f>
        <v>OK</v>
      </c>
      <c r="K157" s="182" t="str">
        <f t="shared" si="36"/>
        <v>OK</v>
      </c>
      <c r="L157" s="182" t="str">
        <f t="shared" si="36"/>
        <v>OK</v>
      </c>
      <c r="M157" s="182" t="str">
        <f t="shared" si="36"/>
        <v>OK</v>
      </c>
      <c r="N157" s="182" t="str">
        <f t="shared" si="36"/>
        <v>OK</v>
      </c>
      <c r="O157" s="182" t="str">
        <f t="shared" si="36"/>
        <v>OK</v>
      </c>
      <c r="P157" s="182" t="str">
        <f t="shared" si="36"/>
        <v>OK</v>
      </c>
      <c r="Q157" s="182" t="str">
        <f t="shared" si="36"/>
        <v>OK</v>
      </c>
      <c r="R157" s="182" t="str">
        <f t="shared" si="36"/>
        <v>OK</v>
      </c>
      <c r="S157" s="182" t="str">
        <f t="shared" si="36"/>
        <v>OK</v>
      </c>
      <c r="T157" s="182" t="str">
        <f t="shared" si="36"/>
        <v>OK</v>
      </c>
      <c r="U157" s="182" t="str">
        <f t="shared" si="36"/>
        <v>OK</v>
      </c>
      <c r="V157" s="182" t="str">
        <f t="shared" si="36"/>
        <v>OK</v>
      </c>
      <c r="W157" s="182" t="str">
        <f t="shared" si="36"/>
        <v>OK</v>
      </c>
      <c r="X157" s="182" t="str">
        <f t="shared" si="36"/>
        <v>OK</v>
      </c>
      <c r="Y157" s="182" t="str">
        <f t="shared" si="36"/>
        <v>OK</v>
      </c>
      <c r="Z157" s="182" t="str">
        <f t="shared" si="36"/>
        <v>OK</v>
      </c>
      <c r="AA157" s="182" t="str">
        <f t="shared" si="36"/>
        <v>OK</v>
      </c>
      <c r="AB157" s="182" t="str">
        <f t="shared" si="36"/>
        <v>OK</v>
      </c>
      <c r="AC157" s="182" t="str">
        <f t="shared" si="36"/>
        <v>OK</v>
      </c>
      <c r="AD157" s="182" t="str">
        <f t="shared" si="36"/>
        <v>OK</v>
      </c>
      <c r="AE157" s="182" t="str">
        <f t="shared" si="36"/>
        <v>OK</v>
      </c>
      <c r="AF157" s="182" t="str">
        <f t="shared" si="36"/>
        <v>OK</v>
      </c>
      <c r="AG157" s="182" t="str">
        <f t="shared" si="36"/>
        <v>OK</v>
      </c>
      <c r="AH157" s="182" t="str">
        <f t="shared" si="36"/>
        <v>OK</v>
      </c>
      <c r="AI157" s="182" t="str">
        <f t="shared" si="36"/>
        <v>OK</v>
      </c>
      <c r="AJ157" s="182" t="str">
        <f t="shared" si="36"/>
        <v>OK</v>
      </c>
      <c r="AK157" s="182" t="str">
        <f t="shared" si="36"/>
        <v>OK</v>
      </c>
      <c r="AL157" s="183" t="str">
        <f t="shared" si="36"/>
        <v>OK</v>
      </c>
    </row>
    <row r="158" spans="2:38" ht="14.25" hidden="1" outlineLevel="2">
      <c r="B158" s="175" t="s">
        <v>405</v>
      </c>
      <c r="C158" s="176" t="s">
        <v>405</v>
      </c>
      <c r="D158" s="191" t="s">
        <v>406</v>
      </c>
      <c r="E158" s="178" t="s">
        <v>71</v>
      </c>
      <c r="F158" s="179" t="s">
        <v>71</v>
      </c>
      <c r="G158" s="179" t="s">
        <v>71</v>
      </c>
      <c r="H158" s="180" t="s">
        <v>71</v>
      </c>
      <c r="I158" s="181" t="str">
        <f aca="true" t="shared" si="37" ref="I158:AL158">IF(I95&gt;=I97,"OK","BŁĄD")</f>
        <v>OK</v>
      </c>
      <c r="J158" s="182" t="str">
        <f t="shared" si="37"/>
        <v>OK</v>
      </c>
      <c r="K158" s="182" t="str">
        <f t="shared" si="37"/>
        <v>OK</v>
      </c>
      <c r="L158" s="182" t="str">
        <f t="shared" si="37"/>
        <v>OK</v>
      </c>
      <c r="M158" s="182" t="str">
        <f t="shared" si="37"/>
        <v>OK</v>
      </c>
      <c r="N158" s="182" t="str">
        <f t="shared" si="37"/>
        <v>OK</v>
      </c>
      <c r="O158" s="182" t="str">
        <f t="shared" si="37"/>
        <v>OK</v>
      </c>
      <c r="P158" s="182" t="str">
        <f t="shared" si="37"/>
        <v>OK</v>
      </c>
      <c r="Q158" s="182" t="str">
        <f t="shared" si="37"/>
        <v>OK</v>
      </c>
      <c r="R158" s="182" t="str">
        <f t="shared" si="37"/>
        <v>OK</v>
      </c>
      <c r="S158" s="182" t="str">
        <f t="shared" si="37"/>
        <v>OK</v>
      </c>
      <c r="T158" s="182" t="str">
        <f t="shared" si="37"/>
        <v>OK</v>
      </c>
      <c r="U158" s="182" t="str">
        <f t="shared" si="37"/>
        <v>OK</v>
      </c>
      <c r="V158" s="182" t="str">
        <f t="shared" si="37"/>
        <v>OK</v>
      </c>
      <c r="W158" s="182" t="str">
        <f t="shared" si="37"/>
        <v>OK</v>
      </c>
      <c r="X158" s="182" t="str">
        <f t="shared" si="37"/>
        <v>OK</v>
      </c>
      <c r="Y158" s="182" t="str">
        <f t="shared" si="37"/>
        <v>OK</v>
      </c>
      <c r="Z158" s="182" t="str">
        <f t="shared" si="37"/>
        <v>OK</v>
      </c>
      <c r="AA158" s="182" t="str">
        <f t="shared" si="37"/>
        <v>OK</v>
      </c>
      <c r="AB158" s="182" t="str">
        <f t="shared" si="37"/>
        <v>OK</v>
      </c>
      <c r="AC158" s="182" t="str">
        <f t="shared" si="37"/>
        <v>OK</v>
      </c>
      <c r="AD158" s="182" t="str">
        <f t="shared" si="37"/>
        <v>OK</v>
      </c>
      <c r="AE158" s="182" t="str">
        <f t="shared" si="37"/>
        <v>OK</v>
      </c>
      <c r="AF158" s="182" t="str">
        <f t="shared" si="37"/>
        <v>OK</v>
      </c>
      <c r="AG158" s="182" t="str">
        <f t="shared" si="37"/>
        <v>OK</v>
      </c>
      <c r="AH158" s="182" t="str">
        <f t="shared" si="37"/>
        <v>OK</v>
      </c>
      <c r="AI158" s="182" t="str">
        <f t="shared" si="37"/>
        <v>OK</v>
      </c>
      <c r="AJ158" s="182" t="str">
        <f t="shared" si="37"/>
        <v>OK</v>
      </c>
      <c r="AK158" s="182" t="str">
        <f t="shared" si="37"/>
        <v>OK</v>
      </c>
      <c r="AL158" s="183" t="str">
        <f t="shared" si="37"/>
        <v>OK</v>
      </c>
    </row>
    <row r="159" spans="2:38" ht="14.25" hidden="1" outlineLevel="2">
      <c r="B159" s="175" t="s">
        <v>407</v>
      </c>
      <c r="C159" s="176" t="s">
        <v>407</v>
      </c>
      <c r="D159" s="191" t="s">
        <v>408</v>
      </c>
      <c r="E159" s="178" t="s">
        <v>71</v>
      </c>
      <c r="F159" s="179" t="s">
        <v>71</v>
      </c>
      <c r="G159" s="179" t="s">
        <v>71</v>
      </c>
      <c r="H159" s="180" t="s">
        <v>71</v>
      </c>
      <c r="I159" s="181" t="str">
        <f aca="true" t="shared" si="38" ref="I159:AL159">IF(I98&gt;=I24,"OK","BŁĄD")</f>
        <v>OK</v>
      </c>
      <c r="J159" s="182" t="str">
        <f t="shared" si="38"/>
        <v>OK</v>
      </c>
      <c r="K159" s="182" t="str">
        <f t="shared" si="38"/>
        <v>OK</v>
      </c>
      <c r="L159" s="182" t="str">
        <f t="shared" si="38"/>
        <v>OK</v>
      </c>
      <c r="M159" s="182" t="str">
        <f t="shared" si="38"/>
        <v>OK</v>
      </c>
      <c r="N159" s="182" t="str">
        <f t="shared" si="38"/>
        <v>OK</v>
      </c>
      <c r="O159" s="182" t="str">
        <f t="shared" si="38"/>
        <v>OK</v>
      </c>
      <c r="P159" s="182" t="str">
        <f t="shared" si="38"/>
        <v>OK</v>
      </c>
      <c r="Q159" s="182" t="str">
        <f t="shared" si="38"/>
        <v>OK</v>
      </c>
      <c r="R159" s="182" t="str">
        <f t="shared" si="38"/>
        <v>OK</v>
      </c>
      <c r="S159" s="182" t="str">
        <f t="shared" si="38"/>
        <v>OK</v>
      </c>
      <c r="T159" s="182" t="str">
        <f t="shared" si="38"/>
        <v>OK</v>
      </c>
      <c r="U159" s="182" t="str">
        <f t="shared" si="38"/>
        <v>OK</v>
      </c>
      <c r="V159" s="182" t="str">
        <f t="shared" si="38"/>
        <v>OK</v>
      </c>
      <c r="W159" s="182" t="str">
        <f t="shared" si="38"/>
        <v>OK</v>
      </c>
      <c r="X159" s="182" t="str">
        <f t="shared" si="38"/>
        <v>OK</v>
      </c>
      <c r="Y159" s="182" t="str">
        <f t="shared" si="38"/>
        <v>OK</v>
      </c>
      <c r="Z159" s="182" t="str">
        <f t="shared" si="38"/>
        <v>OK</v>
      </c>
      <c r="AA159" s="182" t="str">
        <f t="shared" si="38"/>
        <v>OK</v>
      </c>
      <c r="AB159" s="182" t="str">
        <f t="shared" si="38"/>
        <v>OK</v>
      </c>
      <c r="AC159" s="182" t="str">
        <f t="shared" si="38"/>
        <v>OK</v>
      </c>
      <c r="AD159" s="182" t="str">
        <f t="shared" si="38"/>
        <v>OK</v>
      </c>
      <c r="AE159" s="182" t="str">
        <f t="shared" si="38"/>
        <v>OK</v>
      </c>
      <c r="AF159" s="182" t="str">
        <f t="shared" si="38"/>
        <v>OK</v>
      </c>
      <c r="AG159" s="182" t="str">
        <f t="shared" si="38"/>
        <v>OK</v>
      </c>
      <c r="AH159" s="182" t="str">
        <f t="shared" si="38"/>
        <v>OK</v>
      </c>
      <c r="AI159" s="182" t="str">
        <f t="shared" si="38"/>
        <v>OK</v>
      </c>
      <c r="AJ159" s="182" t="str">
        <f t="shared" si="38"/>
        <v>OK</v>
      </c>
      <c r="AK159" s="182" t="str">
        <f t="shared" si="38"/>
        <v>OK</v>
      </c>
      <c r="AL159" s="183" t="str">
        <f t="shared" si="38"/>
        <v>OK</v>
      </c>
    </row>
    <row r="160" spans="2:38" ht="14.25" hidden="1" outlineLevel="2">
      <c r="B160" s="175" t="s">
        <v>409</v>
      </c>
      <c r="C160" s="176" t="s">
        <v>409</v>
      </c>
      <c r="D160" s="191" t="s">
        <v>410</v>
      </c>
      <c r="E160" s="178" t="s">
        <v>71</v>
      </c>
      <c r="F160" s="179" t="s">
        <v>71</v>
      </c>
      <c r="G160" s="179" t="s">
        <v>71</v>
      </c>
      <c r="H160" s="180" t="s">
        <v>71</v>
      </c>
      <c r="I160" s="181" t="str">
        <f aca="true" t="shared" si="39" ref="I160:AL160">IF(I105&gt;=(I106+I107+I108),"OK","BŁĄD")</f>
        <v>OK</v>
      </c>
      <c r="J160" s="182" t="str">
        <f t="shared" si="39"/>
        <v>OK</v>
      </c>
      <c r="K160" s="182" t="str">
        <f t="shared" si="39"/>
        <v>OK</v>
      </c>
      <c r="L160" s="182" t="str">
        <f t="shared" si="39"/>
        <v>OK</v>
      </c>
      <c r="M160" s="182" t="str">
        <f t="shared" si="39"/>
        <v>OK</v>
      </c>
      <c r="N160" s="182" t="str">
        <f t="shared" si="39"/>
        <v>OK</v>
      </c>
      <c r="O160" s="182" t="str">
        <f t="shared" si="39"/>
        <v>OK</v>
      </c>
      <c r="P160" s="182" t="str">
        <f t="shared" si="39"/>
        <v>OK</v>
      </c>
      <c r="Q160" s="182" t="str">
        <f t="shared" si="39"/>
        <v>OK</v>
      </c>
      <c r="R160" s="182" t="str">
        <f t="shared" si="39"/>
        <v>OK</v>
      </c>
      <c r="S160" s="182" t="str">
        <f t="shared" si="39"/>
        <v>OK</v>
      </c>
      <c r="T160" s="182" t="str">
        <f t="shared" si="39"/>
        <v>OK</v>
      </c>
      <c r="U160" s="182" t="str">
        <f t="shared" si="39"/>
        <v>OK</v>
      </c>
      <c r="V160" s="182" t="str">
        <f t="shared" si="39"/>
        <v>OK</v>
      </c>
      <c r="W160" s="182" t="str">
        <f t="shared" si="39"/>
        <v>OK</v>
      </c>
      <c r="X160" s="182" t="str">
        <f t="shared" si="39"/>
        <v>OK</v>
      </c>
      <c r="Y160" s="182" t="str">
        <f t="shared" si="39"/>
        <v>OK</v>
      </c>
      <c r="Z160" s="182" t="str">
        <f t="shared" si="39"/>
        <v>OK</v>
      </c>
      <c r="AA160" s="182" t="str">
        <f t="shared" si="39"/>
        <v>OK</v>
      </c>
      <c r="AB160" s="182" t="str">
        <f t="shared" si="39"/>
        <v>OK</v>
      </c>
      <c r="AC160" s="182" t="str">
        <f t="shared" si="39"/>
        <v>OK</v>
      </c>
      <c r="AD160" s="182" t="str">
        <f t="shared" si="39"/>
        <v>OK</v>
      </c>
      <c r="AE160" s="182" t="str">
        <f t="shared" si="39"/>
        <v>OK</v>
      </c>
      <c r="AF160" s="182" t="str">
        <f t="shared" si="39"/>
        <v>OK</v>
      </c>
      <c r="AG160" s="182" t="str">
        <f t="shared" si="39"/>
        <v>OK</v>
      </c>
      <c r="AH160" s="182" t="str">
        <f t="shared" si="39"/>
        <v>OK</v>
      </c>
      <c r="AI160" s="182" t="str">
        <f t="shared" si="39"/>
        <v>OK</v>
      </c>
      <c r="AJ160" s="182" t="str">
        <f t="shared" si="39"/>
        <v>OK</v>
      </c>
      <c r="AK160" s="182" t="str">
        <f t="shared" si="39"/>
        <v>OK</v>
      </c>
      <c r="AL160" s="183" t="str">
        <f t="shared" si="39"/>
        <v>OK</v>
      </c>
    </row>
    <row r="161" spans="2:38" ht="14.25" hidden="1" outlineLevel="2">
      <c r="B161" s="175" t="s">
        <v>405</v>
      </c>
      <c r="C161" s="176" t="s">
        <v>405</v>
      </c>
      <c r="D161" s="191" t="s">
        <v>411</v>
      </c>
      <c r="E161" s="178" t="s">
        <v>71</v>
      </c>
      <c r="F161" s="179" t="s">
        <v>71</v>
      </c>
      <c r="G161" s="179" t="s">
        <v>71</v>
      </c>
      <c r="H161" s="180" t="s">
        <v>71</v>
      </c>
      <c r="I161" s="181" t="str">
        <f>IF(I111&gt;=I112,"OK","BŁĄD")</f>
        <v>OK</v>
      </c>
      <c r="J161" s="182" t="str">
        <f aca="true" t="shared" si="40" ref="J161:AL161">IF(J111&gt;=J112,"OK","BŁĄD")</f>
        <v>OK</v>
      </c>
      <c r="K161" s="182" t="str">
        <f t="shared" si="40"/>
        <v>OK</v>
      </c>
      <c r="L161" s="182" t="str">
        <f t="shared" si="40"/>
        <v>OK</v>
      </c>
      <c r="M161" s="182" t="str">
        <f t="shared" si="40"/>
        <v>OK</v>
      </c>
      <c r="N161" s="182" t="str">
        <f t="shared" si="40"/>
        <v>OK</v>
      </c>
      <c r="O161" s="182" t="str">
        <f t="shared" si="40"/>
        <v>OK</v>
      </c>
      <c r="P161" s="182" t="str">
        <f t="shared" si="40"/>
        <v>OK</v>
      </c>
      <c r="Q161" s="182" t="str">
        <f t="shared" si="40"/>
        <v>OK</v>
      </c>
      <c r="R161" s="182" t="str">
        <f t="shared" si="40"/>
        <v>OK</v>
      </c>
      <c r="S161" s="182" t="str">
        <f t="shared" si="40"/>
        <v>OK</v>
      </c>
      <c r="T161" s="182" t="str">
        <f t="shared" si="40"/>
        <v>OK</v>
      </c>
      <c r="U161" s="182" t="str">
        <f t="shared" si="40"/>
        <v>OK</v>
      </c>
      <c r="V161" s="182" t="str">
        <f t="shared" si="40"/>
        <v>OK</v>
      </c>
      <c r="W161" s="182" t="str">
        <f t="shared" si="40"/>
        <v>OK</v>
      </c>
      <c r="X161" s="182" t="str">
        <f t="shared" si="40"/>
        <v>OK</v>
      </c>
      <c r="Y161" s="182" t="str">
        <f t="shared" si="40"/>
        <v>OK</v>
      </c>
      <c r="Z161" s="182" t="str">
        <f t="shared" si="40"/>
        <v>OK</v>
      </c>
      <c r="AA161" s="182" t="str">
        <f t="shared" si="40"/>
        <v>OK</v>
      </c>
      <c r="AB161" s="182" t="str">
        <f t="shared" si="40"/>
        <v>OK</v>
      </c>
      <c r="AC161" s="182" t="str">
        <f t="shared" si="40"/>
        <v>OK</v>
      </c>
      <c r="AD161" s="182" t="str">
        <f t="shared" si="40"/>
        <v>OK</v>
      </c>
      <c r="AE161" s="182" t="str">
        <f t="shared" si="40"/>
        <v>OK</v>
      </c>
      <c r="AF161" s="182" t="str">
        <f t="shared" si="40"/>
        <v>OK</v>
      </c>
      <c r="AG161" s="182" t="str">
        <f t="shared" si="40"/>
        <v>OK</v>
      </c>
      <c r="AH161" s="182" t="str">
        <f t="shared" si="40"/>
        <v>OK</v>
      </c>
      <c r="AI161" s="182" t="str">
        <f t="shared" si="40"/>
        <v>OK</v>
      </c>
      <c r="AJ161" s="182" t="str">
        <f t="shared" si="40"/>
        <v>OK</v>
      </c>
      <c r="AK161" s="182" t="str">
        <f t="shared" si="40"/>
        <v>OK</v>
      </c>
      <c r="AL161" s="183" t="str">
        <f t="shared" si="40"/>
        <v>OK</v>
      </c>
    </row>
    <row r="162" spans="2:38" ht="14.25" hidden="1" outlineLevel="2">
      <c r="B162" s="175" t="s">
        <v>412</v>
      </c>
      <c r="C162" s="176" t="s">
        <v>412</v>
      </c>
      <c r="D162" s="191" t="s">
        <v>413</v>
      </c>
      <c r="E162" s="178" t="s">
        <v>71</v>
      </c>
      <c r="F162" s="179" t="s">
        <v>71</v>
      </c>
      <c r="G162" s="179" t="s">
        <v>71</v>
      </c>
      <c r="H162" s="180" t="s">
        <v>71</v>
      </c>
      <c r="I162" s="181" t="str">
        <f aca="true" t="shared" si="41" ref="I162:AL162">IF(I22&gt;=I23,"OK","BŁĄD")</f>
        <v>OK</v>
      </c>
      <c r="J162" s="182" t="str">
        <f t="shared" si="41"/>
        <v>OK</v>
      </c>
      <c r="K162" s="182" t="str">
        <f t="shared" si="41"/>
        <v>OK</v>
      </c>
      <c r="L162" s="182" t="str">
        <f t="shared" si="41"/>
        <v>OK</v>
      </c>
      <c r="M162" s="182" t="str">
        <f t="shared" si="41"/>
        <v>OK</v>
      </c>
      <c r="N162" s="182" t="str">
        <f t="shared" si="41"/>
        <v>OK</v>
      </c>
      <c r="O162" s="182" t="str">
        <f t="shared" si="41"/>
        <v>OK</v>
      </c>
      <c r="P162" s="182" t="str">
        <f t="shared" si="41"/>
        <v>OK</v>
      </c>
      <c r="Q162" s="182" t="str">
        <f t="shared" si="41"/>
        <v>OK</v>
      </c>
      <c r="R162" s="182" t="str">
        <f t="shared" si="41"/>
        <v>OK</v>
      </c>
      <c r="S162" s="182" t="str">
        <f t="shared" si="41"/>
        <v>OK</v>
      </c>
      <c r="T162" s="182" t="str">
        <f t="shared" si="41"/>
        <v>OK</v>
      </c>
      <c r="U162" s="182" t="str">
        <f t="shared" si="41"/>
        <v>OK</v>
      </c>
      <c r="V162" s="182" t="str">
        <f t="shared" si="41"/>
        <v>OK</v>
      </c>
      <c r="W162" s="182" t="str">
        <f t="shared" si="41"/>
        <v>OK</v>
      </c>
      <c r="X162" s="182" t="str">
        <f t="shared" si="41"/>
        <v>OK</v>
      </c>
      <c r="Y162" s="182" t="str">
        <f t="shared" si="41"/>
        <v>OK</v>
      </c>
      <c r="Z162" s="182" t="str">
        <f t="shared" si="41"/>
        <v>OK</v>
      </c>
      <c r="AA162" s="182" t="str">
        <f t="shared" si="41"/>
        <v>OK</v>
      </c>
      <c r="AB162" s="182" t="str">
        <f t="shared" si="41"/>
        <v>OK</v>
      </c>
      <c r="AC162" s="182" t="str">
        <f t="shared" si="41"/>
        <v>OK</v>
      </c>
      <c r="AD162" s="182" t="str">
        <f t="shared" si="41"/>
        <v>OK</v>
      </c>
      <c r="AE162" s="182" t="str">
        <f t="shared" si="41"/>
        <v>OK</v>
      </c>
      <c r="AF162" s="182" t="str">
        <f t="shared" si="41"/>
        <v>OK</v>
      </c>
      <c r="AG162" s="182" t="str">
        <f t="shared" si="41"/>
        <v>OK</v>
      </c>
      <c r="AH162" s="182" t="str">
        <f t="shared" si="41"/>
        <v>OK</v>
      </c>
      <c r="AI162" s="182" t="str">
        <f t="shared" si="41"/>
        <v>OK</v>
      </c>
      <c r="AJ162" s="182" t="str">
        <f t="shared" si="41"/>
        <v>OK</v>
      </c>
      <c r="AK162" s="182" t="str">
        <f t="shared" si="41"/>
        <v>OK</v>
      </c>
      <c r="AL162" s="183" t="str">
        <f t="shared" si="41"/>
        <v>OK</v>
      </c>
    </row>
    <row r="163" spans="2:38" ht="14.25" hidden="1" outlineLevel="2">
      <c r="B163" s="175" t="s">
        <v>414</v>
      </c>
      <c r="C163" s="176" t="s">
        <v>414</v>
      </c>
      <c r="D163" s="191" t="s">
        <v>415</v>
      </c>
      <c r="E163" s="178" t="s">
        <v>71</v>
      </c>
      <c r="F163" s="179" t="s">
        <v>71</v>
      </c>
      <c r="G163" s="179" t="s">
        <v>71</v>
      </c>
      <c r="H163" s="180" t="s">
        <v>71</v>
      </c>
      <c r="I163" s="181" t="str">
        <f aca="true" t="shared" si="42" ref="I163:AL163">IF(I22&gt;=I108,"OK","BŁĄD")</f>
        <v>OK</v>
      </c>
      <c r="J163" s="182" t="str">
        <f t="shared" si="42"/>
        <v>OK</v>
      </c>
      <c r="K163" s="182" t="str">
        <f t="shared" si="42"/>
        <v>OK</v>
      </c>
      <c r="L163" s="182" t="str">
        <f t="shared" si="42"/>
        <v>OK</v>
      </c>
      <c r="M163" s="182" t="str">
        <f t="shared" si="42"/>
        <v>OK</v>
      </c>
      <c r="N163" s="182" t="str">
        <f t="shared" si="42"/>
        <v>OK</v>
      </c>
      <c r="O163" s="182" t="str">
        <f t="shared" si="42"/>
        <v>OK</v>
      </c>
      <c r="P163" s="182" t="str">
        <f t="shared" si="42"/>
        <v>OK</v>
      </c>
      <c r="Q163" s="182" t="str">
        <f t="shared" si="42"/>
        <v>OK</v>
      </c>
      <c r="R163" s="182" t="str">
        <f t="shared" si="42"/>
        <v>OK</v>
      </c>
      <c r="S163" s="182" t="str">
        <f t="shared" si="42"/>
        <v>OK</v>
      </c>
      <c r="T163" s="182" t="str">
        <f t="shared" si="42"/>
        <v>OK</v>
      </c>
      <c r="U163" s="182" t="str">
        <f t="shared" si="42"/>
        <v>OK</v>
      </c>
      <c r="V163" s="182" t="str">
        <f t="shared" si="42"/>
        <v>OK</v>
      </c>
      <c r="W163" s="182" t="str">
        <f t="shared" si="42"/>
        <v>OK</v>
      </c>
      <c r="X163" s="182" t="str">
        <f t="shared" si="42"/>
        <v>OK</v>
      </c>
      <c r="Y163" s="182" t="str">
        <f t="shared" si="42"/>
        <v>OK</v>
      </c>
      <c r="Z163" s="182" t="str">
        <f t="shared" si="42"/>
        <v>OK</v>
      </c>
      <c r="AA163" s="182" t="str">
        <f t="shared" si="42"/>
        <v>OK</v>
      </c>
      <c r="AB163" s="182" t="str">
        <f t="shared" si="42"/>
        <v>OK</v>
      </c>
      <c r="AC163" s="182" t="str">
        <f t="shared" si="42"/>
        <v>OK</v>
      </c>
      <c r="AD163" s="182" t="str">
        <f t="shared" si="42"/>
        <v>OK</v>
      </c>
      <c r="AE163" s="182" t="str">
        <f t="shared" si="42"/>
        <v>OK</v>
      </c>
      <c r="AF163" s="182" t="str">
        <f t="shared" si="42"/>
        <v>OK</v>
      </c>
      <c r="AG163" s="182" t="str">
        <f t="shared" si="42"/>
        <v>OK</v>
      </c>
      <c r="AH163" s="182" t="str">
        <f t="shared" si="42"/>
        <v>OK</v>
      </c>
      <c r="AI163" s="182" t="str">
        <f t="shared" si="42"/>
        <v>OK</v>
      </c>
      <c r="AJ163" s="182" t="str">
        <f t="shared" si="42"/>
        <v>OK</v>
      </c>
      <c r="AK163" s="182" t="str">
        <f t="shared" si="42"/>
        <v>OK</v>
      </c>
      <c r="AL163" s="183" t="str">
        <f t="shared" si="42"/>
        <v>OK</v>
      </c>
    </row>
    <row r="164" spans="2:38" ht="14.25" hidden="1" outlineLevel="2">
      <c r="B164" s="175" t="s">
        <v>416</v>
      </c>
      <c r="C164" s="176" t="s">
        <v>416</v>
      </c>
      <c r="D164" s="191" t="s">
        <v>417</v>
      </c>
      <c r="E164" s="178" t="s">
        <v>71</v>
      </c>
      <c r="F164" s="179" t="s">
        <v>71</v>
      </c>
      <c r="G164" s="179" t="s">
        <v>71</v>
      </c>
      <c r="H164" s="180" t="s">
        <v>71</v>
      </c>
      <c r="I164" s="181" t="str">
        <f aca="true" t="shared" si="43" ref="I164:AL165">IF(I25&gt;=I26,"OK","BŁĄD")</f>
        <v>OK</v>
      </c>
      <c r="J164" s="182" t="str">
        <f t="shared" si="43"/>
        <v>OK</v>
      </c>
      <c r="K164" s="182" t="str">
        <f t="shared" si="43"/>
        <v>OK</v>
      </c>
      <c r="L164" s="182" t="str">
        <f t="shared" si="43"/>
        <v>OK</v>
      </c>
      <c r="M164" s="182" t="str">
        <f t="shared" si="43"/>
        <v>OK</v>
      </c>
      <c r="N164" s="182" t="str">
        <f t="shared" si="43"/>
        <v>OK</v>
      </c>
      <c r="O164" s="182" t="str">
        <f t="shared" si="43"/>
        <v>OK</v>
      </c>
      <c r="P164" s="182" t="str">
        <f t="shared" si="43"/>
        <v>OK</v>
      </c>
      <c r="Q164" s="182" t="str">
        <f t="shared" si="43"/>
        <v>OK</v>
      </c>
      <c r="R164" s="182" t="str">
        <f t="shared" si="43"/>
        <v>OK</v>
      </c>
      <c r="S164" s="182" t="str">
        <f t="shared" si="43"/>
        <v>OK</v>
      </c>
      <c r="T164" s="182" t="str">
        <f t="shared" si="43"/>
        <v>OK</v>
      </c>
      <c r="U164" s="182" t="str">
        <f t="shared" si="43"/>
        <v>OK</v>
      </c>
      <c r="V164" s="182" t="str">
        <f t="shared" si="43"/>
        <v>OK</v>
      </c>
      <c r="W164" s="182" t="str">
        <f t="shared" si="43"/>
        <v>OK</v>
      </c>
      <c r="X164" s="182" t="str">
        <f t="shared" si="43"/>
        <v>OK</v>
      </c>
      <c r="Y164" s="182" t="str">
        <f t="shared" si="43"/>
        <v>OK</v>
      </c>
      <c r="Z164" s="182" t="str">
        <f t="shared" si="43"/>
        <v>OK</v>
      </c>
      <c r="AA164" s="182" t="str">
        <f t="shared" si="43"/>
        <v>OK</v>
      </c>
      <c r="AB164" s="182" t="str">
        <f t="shared" si="43"/>
        <v>OK</v>
      </c>
      <c r="AC164" s="182" t="str">
        <f t="shared" si="43"/>
        <v>OK</v>
      </c>
      <c r="AD164" s="182" t="str">
        <f t="shared" si="43"/>
        <v>OK</v>
      </c>
      <c r="AE164" s="182" t="str">
        <f t="shared" si="43"/>
        <v>OK</v>
      </c>
      <c r="AF164" s="182" t="str">
        <f t="shared" si="43"/>
        <v>OK</v>
      </c>
      <c r="AG164" s="182" t="str">
        <f t="shared" si="43"/>
        <v>OK</v>
      </c>
      <c r="AH164" s="182" t="str">
        <f t="shared" si="43"/>
        <v>OK</v>
      </c>
      <c r="AI164" s="182" t="str">
        <f t="shared" si="43"/>
        <v>OK</v>
      </c>
      <c r="AJ164" s="182" t="str">
        <f t="shared" si="43"/>
        <v>OK</v>
      </c>
      <c r="AK164" s="182" t="str">
        <f t="shared" si="43"/>
        <v>OK</v>
      </c>
      <c r="AL164" s="183" t="str">
        <f t="shared" si="43"/>
        <v>OK</v>
      </c>
    </row>
    <row r="165" spans="2:38" ht="14.25" hidden="1" outlineLevel="2">
      <c r="B165" s="175" t="s">
        <v>416</v>
      </c>
      <c r="C165" s="176" t="s">
        <v>416</v>
      </c>
      <c r="D165" s="191" t="s">
        <v>418</v>
      </c>
      <c r="E165" s="178" t="s">
        <v>71</v>
      </c>
      <c r="F165" s="179" t="s">
        <v>71</v>
      </c>
      <c r="G165" s="179" t="s">
        <v>71</v>
      </c>
      <c r="H165" s="180" t="s">
        <v>71</v>
      </c>
      <c r="I165" s="181" t="str">
        <f>IF(I26&gt;=(I27+I28),"OK","BŁĄD")</f>
        <v>OK</v>
      </c>
      <c r="J165" s="182" t="str">
        <f t="shared" si="43"/>
        <v>OK</v>
      </c>
      <c r="K165" s="182" t="str">
        <f t="shared" si="43"/>
        <v>OK</v>
      </c>
      <c r="L165" s="182" t="str">
        <f t="shared" si="43"/>
        <v>OK</v>
      </c>
      <c r="M165" s="182" t="str">
        <f t="shared" si="43"/>
        <v>OK</v>
      </c>
      <c r="N165" s="182" t="str">
        <f t="shared" si="43"/>
        <v>OK</v>
      </c>
      <c r="O165" s="182" t="str">
        <f t="shared" si="43"/>
        <v>OK</v>
      </c>
      <c r="P165" s="182" t="str">
        <f t="shared" si="43"/>
        <v>OK</v>
      </c>
      <c r="Q165" s="182" t="str">
        <f t="shared" si="43"/>
        <v>OK</v>
      </c>
      <c r="R165" s="182" t="str">
        <f t="shared" si="43"/>
        <v>OK</v>
      </c>
      <c r="S165" s="182" t="str">
        <f t="shared" si="43"/>
        <v>OK</v>
      </c>
      <c r="T165" s="182" t="str">
        <f t="shared" si="43"/>
        <v>OK</v>
      </c>
      <c r="U165" s="182" t="str">
        <f t="shared" si="43"/>
        <v>OK</v>
      </c>
      <c r="V165" s="182" t="str">
        <f t="shared" si="43"/>
        <v>OK</v>
      </c>
      <c r="W165" s="182" t="str">
        <f t="shared" si="43"/>
        <v>OK</v>
      </c>
      <c r="X165" s="182" t="str">
        <f t="shared" si="43"/>
        <v>OK</v>
      </c>
      <c r="Y165" s="182" t="str">
        <f t="shared" si="43"/>
        <v>OK</v>
      </c>
      <c r="Z165" s="182" t="str">
        <f t="shared" si="43"/>
        <v>OK</v>
      </c>
      <c r="AA165" s="182" t="str">
        <f t="shared" si="43"/>
        <v>OK</v>
      </c>
      <c r="AB165" s="182" t="str">
        <f t="shared" si="43"/>
        <v>OK</v>
      </c>
      <c r="AC165" s="182" t="str">
        <f t="shared" si="43"/>
        <v>OK</v>
      </c>
      <c r="AD165" s="182" t="str">
        <f t="shared" si="43"/>
        <v>OK</v>
      </c>
      <c r="AE165" s="182" t="str">
        <f t="shared" si="43"/>
        <v>OK</v>
      </c>
      <c r="AF165" s="182" t="str">
        <f t="shared" si="43"/>
        <v>OK</v>
      </c>
      <c r="AG165" s="182" t="str">
        <f t="shared" si="43"/>
        <v>OK</v>
      </c>
      <c r="AH165" s="182" t="str">
        <f t="shared" si="43"/>
        <v>OK</v>
      </c>
      <c r="AI165" s="182" t="str">
        <f t="shared" si="43"/>
        <v>OK</v>
      </c>
      <c r="AJ165" s="182" t="str">
        <f t="shared" si="43"/>
        <v>OK</v>
      </c>
      <c r="AK165" s="182" t="str">
        <f t="shared" si="43"/>
        <v>OK</v>
      </c>
      <c r="AL165" s="183" t="str">
        <f t="shared" si="43"/>
        <v>OK</v>
      </c>
    </row>
    <row r="166" spans="2:38" ht="14.25" hidden="1" outlineLevel="2">
      <c r="B166" s="175" t="s">
        <v>419</v>
      </c>
      <c r="C166" s="176" t="s">
        <v>419</v>
      </c>
      <c r="D166" s="191" t="s">
        <v>420</v>
      </c>
      <c r="E166" s="178" t="s">
        <v>71</v>
      </c>
      <c r="F166" s="179" t="s">
        <v>71</v>
      </c>
      <c r="G166" s="179" t="s">
        <v>71</v>
      </c>
      <c r="H166" s="180" t="s">
        <v>71</v>
      </c>
      <c r="I166" s="181" t="str">
        <f aca="true" t="shared" si="44" ref="I166:AL166">IF(I21&gt;=(I22+I24+I25),"OK","BŁĄD")</f>
        <v>OK</v>
      </c>
      <c r="J166" s="182" t="str">
        <f t="shared" si="44"/>
        <v>OK</v>
      </c>
      <c r="K166" s="182" t="str">
        <f t="shared" si="44"/>
        <v>OK</v>
      </c>
      <c r="L166" s="182" t="str">
        <f t="shared" si="44"/>
        <v>OK</v>
      </c>
      <c r="M166" s="182" t="str">
        <f t="shared" si="44"/>
        <v>OK</v>
      </c>
      <c r="N166" s="182" t="str">
        <f t="shared" si="44"/>
        <v>OK</v>
      </c>
      <c r="O166" s="182" t="str">
        <f t="shared" si="44"/>
        <v>OK</v>
      </c>
      <c r="P166" s="182" t="str">
        <f t="shared" si="44"/>
        <v>OK</v>
      </c>
      <c r="Q166" s="182" t="str">
        <f t="shared" si="44"/>
        <v>OK</v>
      </c>
      <c r="R166" s="182" t="str">
        <f t="shared" si="44"/>
        <v>OK</v>
      </c>
      <c r="S166" s="182" t="str">
        <f t="shared" si="44"/>
        <v>OK</v>
      </c>
      <c r="T166" s="182" t="str">
        <f t="shared" si="44"/>
        <v>OK</v>
      </c>
      <c r="U166" s="182" t="str">
        <f t="shared" si="44"/>
        <v>OK</v>
      </c>
      <c r="V166" s="182" t="str">
        <f t="shared" si="44"/>
        <v>OK</v>
      </c>
      <c r="W166" s="182" t="str">
        <f t="shared" si="44"/>
        <v>OK</v>
      </c>
      <c r="X166" s="182" t="str">
        <f t="shared" si="44"/>
        <v>OK</v>
      </c>
      <c r="Y166" s="182" t="str">
        <f t="shared" si="44"/>
        <v>OK</v>
      </c>
      <c r="Z166" s="182" t="str">
        <f t="shared" si="44"/>
        <v>OK</v>
      </c>
      <c r="AA166" s="182" t="str">
        <f t="shared" si="44"/>
        <v>OK</v>
      </c>
      <c r="AB166" s="182" t="str">
        <f t="shared" si="44"/>
        <v>OK</v>
      </c>
      <c r="AC166" s="182" t="str">
        <f t="shared" si="44"/>
        <v>OK</v>
      </c>
      <c r="AD166" s="182" t="str">
        <f t="shared" si="44"/>
        <v>OK</v>
      </c>
      <c r="AE166" s="182" t="str">
        <f t="shared" si="44"/>
        <v>OK</v>
      </c>
      <c r="AF166" s="182" t="str">
        <f t="shared" si="44"/>
        <v>OK</v>
      </c>
      <c r="AG166" s="182" t="str">
        <f t="shared" si="44"/>
        <v>OK</v>
      </c>
      <c r="AH166" s="182" t="str">
        <f t="shared" si="44"/>
        <v>OK</v>
      </c>
      <c r="AI166" s="182" t="str">
        <f t="shared" si="44"/>
        <v>OK</v>
      </c>
      <c r="AJ166" s="182" t="str">
        <f t="shared" si="44"/>
        <v>OK</v>
      </c>
      <c r="AK166" s="182" t="str">
        <f t="shared" si="44"/>
        <v>OK</v>
      </c>
      <c r="AL166" s="183" t="str">
        <f t="shared" si="44"/>
        <v>OK</v>
      </c>
    </row>
    <row r="167" spans="2:38" ht="14.25" hidden="1" outlineLevel="2">
      <c r="B167" s="175" t="s">
        <v>421</v>
      </c>
      <c r="C167" s="176" t="s">
        <v>421</v>
      </c>
      <c r="D167" s="191" t="s">
        <v>422</v>
      </c>
      <c r="E167" s="178" t="s">
        <v>71</v>
      </c>
      <c r="F167" s="179" t="s">
        <v>71</v>
      </c>
      <c r="G167" s="179" t="s">
        <v>71</v>
      </c>
      <c r="H167" s="180" t="s">
        <v>71</v>
      </c>
      <c r="I167" s="181" t="str">
        <f aca="true" t="shared" si="45" ref="I167:AL167">IF(I21&gt;=I65,"OK","BŁĄD")</f>
        <v>OK</v>
      </c>
      <c r="J167" s="182" t="str">
        <f t="shared" si="45"/>
        <v>OK</v>
      </c>
      <c r="K167" s="182" t="str">
        <f t="shared" si="45"/>
        <v>OK</v>
      </c>
      <c r="L167" s="182" t="str">
        <f t="shared" si="45"/>
        <v>OK</v>
      </c>
      <c r="M167" s="182" t="str">
        <f t="shared" si="45"/>
        <v>OK</v>
      </c>
      <c r="N167" s="182" t="str">
        <f t="shared" si="45"/>
        <v>OK</v>
      </c>
      <c r="O167" s="182" t="str">
        <f t="shared" si="45"/>
        <v>OK</v>
      </c>
      <c r="P167" s="182" t="str">
        <f t="shared" si="45"/>
        <v>OK</v>
      </c>
      <c r="Q167" s="182" t="str">
        <f t="shared" si="45"/>
        <v>OK</v>
      </c>
      <c r="R167" s="182" t="str">
        <f t="shared" si="45"/>
        <v>OK</v>
      </c>
      <c r="S167" s="182" t="str">
        <f t="shared" si="45"/>
        <v>OK</v>
      </c>
      <c r="T167" s="182" t="str">
        <f t="shared" si="45"/>
        <v>OK</v>
      </c>
      <c r="U167" s="182" t="str">
        <f t="shared" si="45"/>
        <v>OK</v>
      </c>
      <c r="V167" s="182" t="str">
        <f t="shared" si="45"/>
        <v>OK</v>
      </c>
      <c r="W167" s="182" t="str">
        <f t="shared" si="45"/>
        <v>OK</v>
      </c>
      <c r="X167" s="182" t="str">
        <f t="shared" si="45"/>
        <v>OK</v>
      </c>
      <c r="Y167" s="182" t="str">
        <f t="shared" si="45"/>
        <v>OK</v>
      </c>
      <c r="Z167" s="182" t="str">
        <f t="shared" si="45"/>
        <v>OK</v>
      </c>
      <c r="AA167" s="182" t="str">
        <f t="shared" si="45"/>
        <v>OK</v>
      </c>
      <c r="AB167" s="182" t="str">
        <f t="shared" si="45"/>
        <v>OK</v>
      </c>
      <c r="AC167" s="182" t="str">
        <f t="shared" si="45"/>
        <v>OK</v>
      </c>
      <c r="AD167" s="182" t="str">
        <f t="shared" si="45"/>
        <v>OK</v>
      </c>
      <c r="AE167" s="182" t="str">
        <f t="shared" si="45"/>
        <v>OK</v>
      </c>
      <c r="AF167" s="182" t="str">
        <f t="shared" si="45"/>
        <v>OK</v>
      </c>
      <c r="AG167" s="182" t="str">
        <f t="shared" si="45"/>
        <v>OK</v>
      </c>
      <c r="AH167" s="182" t="str">
        <f t="shared" si="45"/>
        <v>OK</v>
      </c>
      <c r="AI167" s="182" t="str">
        <f t="shared" si="45"/>
        <v>OK</v>
      </c>
      <c r="AJ167" s="182" t="str">
        <f t="shared" si="45"/>
        <v>OK</v>
      </c>
      <c r="AK167" s="182" t="str">
        <f t="shared" si="45"/>
        <v>OK</v>
      </c>
      <c r="AL167" s="183" t="str">
        <f t="shared" si="45"/>
        <v>OK</v>
      </c>
    </row>
    <row r="168" spans="2:38" ht="14.25" hidden="1" outlineLevel="2">
      <c r="B168" s="175" t="s">
        <v>423</v>
      </c>
      <c r="C168" s="176" t="s">
        <v>423</v>
      </c>
      <c r="D168" s="191" t="s">
        <v>424</v>
      </c>
      <c r="E168" s="178" t="s">
        <v>71</v>
      </c>
      <c r="F168" s="179" t="s">
        <v>71</v>
      </c>
      <c r="G168" s="179" t="s">
        <v>71</v>
      </c>
      <c r="H168" s="180" t="s">
        <v>71</v>
      </c>
      <c r="I168" s="181" t="str">
        <f aca="true" t="shared" si="46" ref="I168:AL168">IF(I21&gt;=I68,"OK","BŁĄD")</f>
        <v>OK</v>
      </c>
      <c r="J168" s="182" t="str">
        <f t="shared" si="46"/>
        <v>OK</v>
      </c>
      <c r="K168" s="182" t="str">
        <f t="shared" si="46"/>
        <v>OK</v>
      </c>
      <c r="L168" s="182" t="str">
        <f t="shared" si="46"/>
        <v>OK</v>
      </c>
      <c r="M168" s="182" t="str">
        <f t="shared" si="46"/>
        <v>OK</v>
      </c>
      <c r="N168" s="182" t="str">
        <f t="shared" si="46"/>
        <v>OK</v>
      </c>
      <c r="O168" s="182" t="str">
        <f t="shared" si="46"/>
        <v>OK</v>
      </c>
      <c r="P168" s="182" t="str">
        <f t="shared" si="46"/>
        <v>OK</v>
      </c>
      <c r="Q168" s="182" t="str">
        <f t="shared" si="46"/>
        <v>OK</v>
      </c>
      <c r="R168" s="182" t="str">
        <f t="shared" si="46"/>
        <v>OK</v>
      </c>
      <c r="S168" s="182" t="str">
        <f t="shared" si="46"/>
        <v>OK</v>
      </c>
      <c r="T168" s="182" t="str">
        <f t="shared" si="46"/>
        <v>OK</v>
      </c>
      <c r="U168" s="182" t="str">
        <f t="shared" si="46"/>
        <v>OK</v>
      </c>
      <c r="V168" s="182" t="str">
        <f t="shared" si="46"/>
        <v>OK</v>
      </c>
      <c r="W168" s="182" t="str">
        <f t="shared" si="46"/>
        <v>OK</v>
      </c>
      <c r="X168" s="182" t="str">
        <f t="shared" si="46"/>
        <v>OK</v>
      </c>
      <c r="Y168" s="182" t="str">
        <f t="shared" si="46"/>
        <v>OK</v>
      </c>
      <c r="Z168" s="182" t="str">
        <f t="shared" si="46"/>
        <v>OK</v>
      </c>
      <c r="AA168" s="182" t="str">
        <f t="shared" si="46"/>
        <v>OK</v>
      </c>
      <c r="AB168" s="182" t="str">
        <f t="shared" si="46"/>
        <v>OK</v>
      </c>
      <c r="AC168" s="182" t="str">
        <f t="shared" si="46"/>
        <v>OK</v>
      </c>
      <c r="AD168" s="182" t="str">
        <f t="shared" si="46"/>
        <v>OK</v>
      </c>
      <c r="AE168" s="182" t="str">
        <f t="shared" si="46"/>
        <v>OK</v>
      </c>
      <c r="AF168" s="182" t="str">
        <f t="shared" si="46"/>
        <v>OK</v>
      </c>
      <c r="AG168" s="182" t="str">
        <f t="shared" si="46"/>
        <v>OK</v>
      </c>
      <c r="AH168" s="182" t="str">
        <f t="shared" si="46"/>
        <v>OK</v>
      </c>
      <c r="AI168" s="182" t="str">
        <f t="shared" si="46"/>
        <v>OK</v>
      </c>
      <c r="AJ168" s="182" t="str">
        <f t="shared" si="46"/>
        <v>OK</v>
      </c>
      <c r="AK168" s="182" t="str">
        <f t="shared" si="46"/>
        <v>OK</v>
      </c>
      <c r="AL168" s="183" t="str">
        <f t="shared" si="46"/>
        <v>OK</v>
      </c>
    </row>
    <row r="169" spans="2:38" ht="14.25" hidden="1" outlineLevel="2">
      <c r="B169" s="175" t="s">
        <v>425</v>
      </c>
      <c r="C169" s="176" t="s">
        <v>425</v>
      </c>
      <c r="D169" s="191" t="s">
        <v>426</v>
      </c>
      <c r="E169" s="178" t="s">
        <v>71</v>
      </c>
      <c r="F169" s="179" t="s">
        <v>71</v>
      </c>
      <c r="G169" s="179" t="s">
        <v>71</v>
      </c>
      <c r="H169" s="180" t="s">
        <v>71</v>
      </c>
      <c r="I169" s="181" t="str">
        <f aca="true" t="shared" si="47" ref="I169:AL169">IF(I21&gt;=I80,"OK","BŁĄD")</f>
        <v>OK</v>
      </c>
      <c r="J169" s="182" t="str">
        <f t="shared" si="47"/>
        <v>OK</v>
      </c>
      <c r="K169" s="182" t="str">
        <f t="shared" si="47"/>
        <v>OK</v>
      </c>
      <c r="L169" s="182" t="str">
        <f t="shared" si="47"/>
        <v>OK</v>
      </c>
      <c r="M169" s="182" t="str">
        <f t="shared" si="47"/>
        <v>OK</v>
      </c>
      <c r="N169" s="182" t="str">
        <f t="shared" si="47"/>
        <v>OK</v>
      </c>
      <c r="O169" s="182" t="str">
        <f t="shared" si="47"/>
        <v>OK</v>
      </c>
      <c r="P169" s="182" t="str">
        <f t="shared" si="47"/>
        <v>OK</v>
      </c>
      <c r="Q169" s="182" t="str">
        <f t="shared" si="47"/>
        <v>OK</v>
      </c>
      <c r="R169" s="182" t="str">
        <f t="shared" si="47"/>
        <v>OK</v>
      </c>
      <c r="S169" s="182" t="str">
        <f t="shared" si="47"/>
        <v>OK</v>
      </c>
      <c r="T169" s="182" t="str">
        <f t="shared" si="47"/>
        <v>OK</v>
      </c>
      <c r="U169" s="182" t="str">
        <f t="shared" si="47"/>
        <v>OK</v>
      </c>
      <c r="V169" s="182" t="str">
        <f t="shared" si="47"/>
        <v>OK</v>
      </c>
      <c r="W169" s="182" t="str">
        <f t="shared" si="47"/>
        <v>OK</v>
      </c>
      <c r="X169" s="182" t="str">
        <f t="shared" si="47"/>
        <v>OK</v>
      </c>
      <c r="Y169" s="182" t="str">
        <f t="shared" si="47"/>
        <v>OK</v>
      </c>
      <c r="Z169" s="182" t="str">
        <f t="shared" si="47"/>
        <v>OK</v>
      </c>
      <c r="AA169" s="182" t="str">
        <f t="shared" si="47"/>
        <v>OK</v>
      </c>
      <c r="AB169" s="182" t="str">
        <f t="shared" si="47"/>
        <v>OK</v>
      </c>
      <c r="AC169" s="182" t="str">
        <f t="shared" si="47"/>
        <v>OK</v>
      </c>
      <c r="AD169" s="182" t="str">
        <f t="shared" si="47"/>
        <v>OK</v>
      </c>
      <c r="AE169" s="182" t="str">
        <f t="shared" si="47"/>
        <v>OK</v>
      </c>
      <c r="AF169" s="182" t="str">
        <f t="shared" si="47"/>
        <v>OK</v>
      </c>
      <c r="AG169" s="182" t="str">
        <f t="shared" si="47"/>
        <v>OK</v>
      </c>
      <c r="AH169" s="182" t="str">
        <f t="shared" si="47"/>
        <v>OK</v>
      </c>
      <c r="AI169" s="182" t="str">
        <f t="shared" si="47"/>
        <v>OK</v>
      </c>
      <c r="AJ169" s="182" t="str">
        <f t="shared" si="47"/>
        <v>OK</v>
      </c>
      <c r="AK169" s="182" t="str">
        <f t="shared" si="47"/>
        <v>OK</v>
      </c>
      <c r="AL169" s="183" t="str">
        <f t="shared" si="47"/>
        <v>OK</v>
      </c>
    </row>
    <row r="170" spans="2:38" ht="14.25" hidden="1" outlineLevel="2">
      <c r="B170" s="175" t="s">
        <v>427</v>
      </c>
      <c r="C170" s="176" t="s">
        <v>427</v>
      </c>
      <c r="D170" s="191" t="s">
        <v>428</v>
      </c>
      <c r="E170" s="178" t="s">
        <v>71</v>
      </c>
      <c r="F170" s="179" t="s">
        <v>71</v>
      </c>
      <c r="G170" s="179" t="s">
        <v>71</v>
      </c>
      <c r="H170" s="180" t="s">
        <v>71</v>
      </c>
      <c r="I170" s="181" t="str">
        <f aca="true" t="shared" si="48" ref="I170:AL170">IF(I21&gt;=I101,"OK","BŁĄD")</f>
        <v>OK</v>
      </c>
      <c r="J170" s="182" t="str">
        <f t="shared" si="48"/>
        <v>OK</v>
      </c>
      <c r="K170" s="182" t="str">
        <f t="shared" si="48"/>
        <v>OK</v>
      </c>
      <c r="L170" s="182" t="str">
        <f t="shared" si="48"/>
        <v>OK</v>
      </c>
      <c r="M170" s="182" t="str">
        <f t="shared" si="48"/>
        <v>OK</v>
      </c>
      <c r="N170" s="182" t="str">
        <f t="shared" si="48"/>
        <v>OK</v>
      </c>
      <c r="O170" s="182" t="str">
        <f t="shared" si="48"/>
        <v>OK</v>
      </c>
      <c r="P170" s="182" t="str">
        <f t="shared" si="48"/>
        <v>OK</v>
      </c>
      <c r="Q170" s="182" t="str">
        <f t="shared" si="48"/>
        <v>OK</v>
      </c>
      <c r="R170" s="182" t="str">
        <f t="shared" si="48"/>
        <v>OK</v>
      </c>
      <c r="S170" s="182" t="str">
        <f t="shared" si="48"/>
        <v>OK</v>
      </c>
      <c r="T170" s="182" t="str">
        <f t="shared" si="48"/>
        <v>OK</v>
      </c>
      <c r="U170" s="182" t="str">
        <f t="shared" si="48"/>
        <v>OK</v>
      </c>
      <c r="V170" s="182" t="str">
        <f t="shared" si="48"/>
        <v>OK</v>
      </c>
      <c r="W170" s="182" t="str">
        <f t="shared" si="48"/>
        <v>OK</v>
      </c>
      <c r="X170" s="182" t="str">
        <f t="shared" si="48"/>
        <v>OK</v>
      </c>
      <c r="Y170" s="182" t="str">
        <f t="shared" si="48"/>
        <v>OK</v>
      </c>
      <c r="Z170" s="182" t="str">
        <f t="shared" si="48"/>
        <v>OK</v>
      </c>
      <c r="AA170" s="182" t="str">
        <f t="shared" si="48"/>
        <v>OK</v>
      </c>
      <c r="AB170" s="182" t="str">
        <f t="shared" si="48"/>
        <v>OK</v>
      </c>
      <c r="AC170" s="182" t="str">
        <f t="shared" si="48"/>
        <v>OK</v>
      </c>
      <c r="AD170" s="182" t="str">
        <f t="shared" si="48"/>
        <v>OK</v>
      </c>
      <c r="AE170" s="182" t="str">
        <f t="shared" si="48"/>
        <v>OK</v>
      </c>
      <c r="AF170" s="182" t="str">
        <f t="shared" si="48"/>
        <v>OK</v>
      </c>
      <c r="AG170" s="182" t="str">
        <f t="shared" si="48"/>
        <v>OK</v>
      </c>
      <c r="AH170" s="182" t="str">
        <f t="shared" si="48"/>
        <v>OK</v>
      </c>
      <c r="AI170" s="182" t="str">
        <f t="shared" si="48"/>
        <v>OK</v>
      </c>
      <c r="AJ170" s="182" t="str">
        <f t="shared" si="48"/>
        <v>OK</v>
      </c>
      <c r="AK170" s="182" t="str">
        <f t="shared" si="48"/>
        <v>OK</v>
      </c>
      <c r="AL170" s="183" t="str">
        <f t="shared" si="48"/>
        <v>OK</v>
      </c>
    </row>
    <row r="171" spans="2:38" ht="14.25" hidden="1" outlineLevel="2">
      <c r="B171" s="175" t="s">
        <v>429</v>
      </c>
      <c r="C171" s="176" t="s">
        <v>429</v>
      </c>
      <c r="D171" s="191" t="s">
        <v>430</v>
      </c>
      <c r="E171" s="178" t="s">
        <v>71</v>
      </c>
      <c r="F171" s="179" t="s">
        <v>71</v>
      </c>
      <c r="G171" s="179" t="s">
        <v>71</v>
      </c>
      <c r="H171" s="180" t="s">
        <v>71</v>
      </c>
      <c r="I171" s="181" t="str">
        <f aca="true" t="shared" si="49" ref="I171:AL171">IF(I29&gt;=I69,"OK","BŁĄD")</f>
        <v>OK</v>
      </c>
      <c r="J171" s="182" t="str">
        <f t="shared" si="49"/>
        <v>OK</v>
      </c>
      <c r="K171" s="182" t="str">
        <f t="shared" si="49"/>
        <v>OK</v>
      </c>
      <c r="L171" s="182" t="str">
        <f t="shared" si="49"/>
        <v>OK</v>
      </c>
      <c r="M171" s="182" t="str">
        <f t="shared" si="49"/>
        <v>OK</v>
      </c>
      <c r="N171" s="182" t="str">
        <f t="shared" si="49"/>
        <v>OK</v>
      </c>
      <c r="O171" s="182" t="str">
        <f t="shared" si="49"/>
        <v>OK</v>
      </c>
      <c r="P171" s="182" t="str">
        <f t="shared" si="49"/>
        <v>OK</v>
      </c>
      <c r="Q171" s="182" t="str">
        <f t="shared" si="49"/>
        <v>OK</v>
      </c>
      <c r="R171" s="182" t="str">
        <f t="shared" si="49"/>
        <v>OK</v>
      </c>
      <c r="S171" s="182" t="str">
        <f t="shared" si="49"/>
        <v>OK</v>
      </c>
      <c r="T171" s="182" t="str">
        <f t="shared" si="49"/>
        <v>OK</v>
      </c>
      <c r="U171" s="182" t="str">
        <f t="shared" si="49"/>
        <v>OK</v>
      </c>
      <c r="V171" s="182" t="str">
        <f t="shared" si="49"/>
        <v>OK</v>
      </c>
      <c r="W171" s="182" t="str">
        <f t="shared" si="49"/>
        <v>OK</v>
      </c>
      <c r="X171" s="182" t="str">
        <f t="shared" si="49"/>
        <v>OK</v>
      </c>
      <c r="Y171" s="182" t="str">
        <f t="shared" si="49"/>
        <v>OK</v>
      </c>
      <c r="Z171" s="182" t="str">
        <f t="shared" si="49"/>
        <v>OK</v>
      </c>
      <c r="AA171" s="182" t="str">
        <f t="shared" si="49"/>
        <v>OK</v>
      </c>
      <c r="AB171" s="182" t="str">
        <f t="shared" si="49"/>
        <v>OK</v>
      </c>
      <c r="AC171" s="182" t="str">
        <f t="shared" si="49"/>
        <v>OK</v>
      </c>
      <c r="AD171" s="182" t="str">
        <f t="shared" si="49"/>
        <v>OK</v>
      </c>
      <c r="AE171" s="182" t="str">
        <f t="shared" si="49"/>
        <v>OK</v>
      </c>
      <c r="AF171" s="182" t="str">
        <f t="shared" si="49"/>
        <v>OK</v>
      </c>
      <c r="AG171" s="182" t="str">
        <f t="shared" si="49"/>
        <v>OK</v>
      </c>
      <c r="AH171" s="182" t="str">
        <f t="shared" si="49"/>
        <v>OK</v>
      </c>
      <c r="AI171" s="182" t="str">
        <f t="shared" si="49"/>
        <v>OK</v>
      </c>
      <c r="AJ171" s="182" t="str">
        <f t="shared" si="49"/>
        <v>OK</v>
      </c>
      <c r="AK171" s="182" t="str">
        <f t="shared" si="49"/>
        <v>OK</v>
      </c>
      <c r="AL171" s="183" t="str">
        <f t="shared" si="49"/>
        <v>OK</v>
      </c>
    </row>
    <row r="172" spans="2:38" ht="14.25" hidden="1" outlineLevel="2">
      <c r="B172" s="175" t="s">
        <v>431</v>
      </c>
      <c r="C172" s="176" t="s">
        <v>431</v>
      </c>
      <c r="D172" s="191" t="s">
        <v>432</v>
      </c>
      <c r="E172" s="178" t="s">
        <v>71</v>
      </c>
      <c r="F172" s="179" t="s">
        <v>71</v>
      </c>
      <c r="G172" s="179" t="s">
        <v>71</v>
      </c>
      <c r="H172" s="180" t="s">
        <v>71</v>
      </c>
      <c r="I172" s="181" t="str">
        <f aca="true" t="shared" si="50" ref="I172:AL172">IF(I29&gt;=I70+I71,"OK","BŁĄD")</f>
        <v>OK</v>
      </c>
      <c r="J172" s="182" t="str">
        <f t="shared" si="50"/>
        <v>OK</v>
      </c>
      <c r="K172" s="182" t="str">
        <f t="shared" si="50"/>
        <v>OK</v>
      </c>
      <c r="L172" s="182" t="str">
        <f t="shared" si="50"/>
        <v>OK</v>
      </c>
      <c r="M172" s="182" t="str">
        <f t="shared" si="50"/>
        <v>OK</v>
      </c>
      <c r="N172" s="182" t="str">
        <f t="shared" si="50"/>
        <v>OK</v>
      </c>
      <c r="O172" s="182" t="str">
        <f t="shared" si="50"/>
        <v>OK</v>
      </c>
      <c r="P172" s="182" t="str">
        <f t="shared" si="50"/>
        <v>OK</v>
      </c>
      <c r="Q172" s="182" t="str">
        <f t="shared" si="50"/>
        <v>OK</v>
      </c>
      <c r="R172" s="182" t="str">
        <f t="shared" si="50"/>
        <v>OK</v>
      </c>
      <c r="S172" s="182" t="str">
        <f t="shared" si="50"/>
        <v>OK</v>
      </c>
      <c r="T172" s="182" t="str">
        <f t="shared" si="50"/>
        <v>OK</v>
      </c>
      <c r="U172" s="182" t="str">
        <f t="shared" si="50"/>
        <v>OK</v>
      </c>
      <c r="V172" s="182" t="str">
        <f t="shared" si="50"/>
        <v>OK</v>
      </c>
      <c r="W172" s="182" t="str">
        <f t="shared" si="50"/>
        <v>OK</v>
      </c>
      <c r="X172" s="182" t="str">
        <f t="shared" si="50"/>
        <v>OK</v>
      </c>
      <c r="Y172" s="182" t="str">
        <f t="shared" si="50"/>
        <v>OK</v>
      </c>
      <c r="Z172" s="182" t="str">
        <f t="shared" si="50"/>
        <v>OK</v>
      </c>
      <c r="AA172" s="182" t="str">
        <f t="shared" si="50"/>
        <v>OK</v>
      </c>
      <c r="AB172" s="182" t="str">
        <f t="shared" si="50"/>
        <v>OK</v>
      </c>
      <c r="AC172" s="182" t="str">
        <f t="shared" si="50"/>
        <v>OK</v>
      </c>
      <c r="AD172" s="182" t="str">
        <f t="shared" si="50"/>
        <v>OK</v>
      </c>
      <c r="AE172" s="182" t="str">
        <f t="shared" si="50"/>
        <v>OK</v>
      </c>
      <c r="AF172" s="182" t="str">
        <f t="shared" si="50"/>
        <v>OK</v>
      </c>
      <c r="AG172" s="182" t="str">
        <f t="shared" si="50"/>
        <v>OK</v>
      </c>
      <c r="AH172" s="182" t="str">
        <f t="shared" si="50"/>
        <v>OK</v>
      </c>
      <c r="AI172" s="182" t="str">
        <f t="shared" si="50"/>
        <v>OK</v>
      </c>
      <c r="AJ172" s="182" t="str">
        <f t="shared" si="50"/>
        <v>OK</v>
      </c>
      <c r="AK172" s="182" t="str">
        <f t="shared" si="50"/>
        <v>OK</v>
      </c>
      <c r="AL172" s="183" t="str">
        <f t="shared" si="50"/>
        <v>OK</v>
      </c>
    </row>
    <row r="173" spans="2:38" ht="14.25" hidden="1" outlineLevel="2">
      <c r="B173" s="175" t="s">
        <v>433</v>
      </c>
      <c r="C173" s="176" t="s">
        <v>433</v>
      </c>
      <c r="D173" s="191" t="s">
        <v>434</v>
      </c>
      <c r="E173" s="178" t="s">
        <v>71</v>
      </c>
      <c r="F173" s="179" t="s">
        <v>71</v>
      </c>
      <c r="G173" s="179" t="s">
        <v>71</v>
      </c>
      <c r="H173" s="180" t="s">
        <v>71</v>
      </c>
      <c r="I173" s="181" t="str">
        <f aca="true" t="shared" si="51" ref="I173:AL173">IF(I29&gt;=I72,"OK","BŁĄD")</f>
        <v>OK</v>
      </c>
      <c r="J173" s="182" t="str">
        <f t="shared" si="51"/>
        <v>OK</v>
      </c>
      <c r="K173" s="182" t="str">
        <f t="shared" si="51"/>
        <v>OK</v>
      </c>
      <c r="L173" s="182" t="str">
        <f t="shared" si="51"/>
        <v>OK</v>
      </c>
      <c r="M173" s="182" t="str">
        <f t="shared" si="51"/>
        <v>OK</v>
      </c>
      <c r="N173" s="182" t="str">
        <f t="shared" si="51"/>
        <v>OK</v>
      </c>
      <c r="O173" s="182" t="str">
        <f t="shared" si="51"/>
        <v>OK</v>
      </c>
      <c r="P173" s="182" t="str">
        <f t="shared" si="51"/>
        <v>OK</v>
      </c>
      <c r="Q173" s="182" t="str">
        <f t="shared" si="51"/>
        <v>OK</v>
      </c>
      <c r="R173" s="182" t="str">
        <f t="shared" si="51"/>
        <v>OK</v>
      </c>
      <c r="S173" s="182" t="str">
        <f t="shared" si="51"/>
        <v>OK</v>
      </c>
      <c r="T173" s="182" t="str">
        <f t="shared" si="51"/>
        <v>OK</v>
      </c>
      <c r="U173" s="182" t="str">
        <f t="shared" si="51"/>
        <v>OK</v>
      </c>
      <c r="V173" s="182" t="str">
        <f t="shared" si="51"/>
        <v>OK</v>
      </c>
      <c r="W173" s="182" t="str">
        <f t="shared" si="51"/>
        <v>OK</v>
      </c>
      <c r="X173" s="182" t="str">
        <f t="shared" si="51"/>
        <v>OK</v>
      </c>
      <c r="Y173" s="182" t="str">
        <f t="shared" si="51"/>
        <v>OK</v>
      </c>
      <c r="Z173" s="182" t="str">
        <f t="shared" si="51"/>
        <v>OK</v>
      </c>
      <c r="AA173" s="182" t="str">
        <f t="shared" si="51"/>
        <v>OK</v>
      </c>
      <c r="AB173" s="182" t="str">
        <f t="shared" si="51"/>
        <v>OK</v>
      </c>
      <c r="AC173" s="182" t="str">
        <f t="shared" si="51"/>
        <v>OK</v>
      </c>
      <c r="AD173" s="182" t="str">
        <f t="shared" si="51"/>
        <v>OK</v>
      </c>
      <c r="AE173" s="182" t="str">
        <f t="shared" si="51"/>
        <v>OK</v>
      </c>
      <c r="AF173" s="182" t="str">
        <f t="shared" si="51"/>
        <v>OK</v>
      </c>
      <c r="AG173" s="182" t="str">
        <f t="shared" si="51"/>
        <v>OK</v>
      </c>
      <c r="AH173" s="182" t="str">
        <f t="shared" si="51"/>
        <v>OK</v>
      </c>
      <c r="AI173" s="182" t="str">
        <f t="shared" si="51"/>
        <v>OK</v>
      </c>
      <c r="AJ173" s="182" t="str">
        <f t="shared" si="51"/>
        <v>OK</v>
      </c>
      <c r="AK173" s="182" t="str">
        <f t="shared" si="51"/>
        <v>OK</v>
      </c>
      <c r="AL173" s="183" t="str">
        <f t="shared" si="51"/>
        <v>OK</v>
      </c>
    </row>
    <row r="174" spans="2:38" ht="14.25" hidden="1" outlineLevel="2">
      <c r="B174" s="175" t="s">
        <v>435</v>
      </c>
      <c r="C174" s="176" t="s">
        <v>435</v>
      </c>
      <c r="D174" s="191" t="s">
        <v>436</v>
      </c>
      <c r="E174" s="178" t="s">
        <v>71</v>
      </c>
      <c r="F174" s="179" t="s">
        <v>71</v>
      </c>
      <c r="G174" s="179" t="s">
        <v>71</v>
      </c>
      <c r="H174" s="180" t="s">
        <v>71</v>
      </c>
      <c r="I174" s="181" t="str">
        <f aca="true" t="shared" si="52" ref="I174:AL174">IF(I29&gt;=I83,"OK","BŁĄD")</f>
        <v>OK</v>
      </c>
      <c r="J174" s="182" t="str">
        <f t="shared" si="52"/>
        <v>OK</v>
      </c>
      <c r="K174" s="182" t="str">
        <f t="shared" si="52"/>
        <v>OK</v>
      </c>
      <c r="L174" s="182" t="str">
        <f t="shared" si="52"/>
        <v>OK</v>
      </c>
      <c r="M174" s="182" t="str">
        <f t="shared" si="52"/>
        <v>OK</v>
      </c>
      <c r="N174" s="182" t="str">
        <f t="shared" si="52"/>
        <v>OK</v>
      </c>
      <c r="O174" s="182" t="str">
        <f t="shared" si="52"/>
        <v>OK</v>
      </c>
      <c r="P174" s="182" t="str">
        <f t="shared" si="52"/>
        <v>OK</v>
      </c>
      <c r="Q174" s="182" t="str">
        <f t="shared" si="52"/>
        <v>OK</v>
      </c>
      <c r="R174" s="182" t="str">
        <f t="shared" si="52"/>
        <v>OK</v>
      </c>
      <c r="S174" s="182" t="str">
        <f t="shared" si="52"/>
        <v>OK</v>
      </c>
      <c r="T174" s="182" t="str">
        <f t="shared" si="52"/>
        <v>OK</v>
      </c>
      <c r="U174" s="182" t="str">
        <f t="shared" si="52"/>
        <v>OK</v>
      </c>
      <c r="V174" s="182" t="str">
        <f t="shared" si="52"/>
        <v>OK</v>
      </c>
      <c r="W174" s="182" t="str">
        <f t="shared" si="52"/>
        <v>OK</v>
      </c>
      <c r="X174" s="182" t="str">
        <f t="shared" si="52"/>
        <v>OK</v>
      </c>
      <c r="Y174" s="182" t="str">
        <f t="shared" si="52"/>
        <v>OK</v>
      </c>
      <c r="Z174" s="182" t="str">
        <f t="shared" si="52"/>
        <v>OK</v>
      </c>
      <c r="AA174" s="182" t="str">
        <f t="shared" si="52"/>
        <v>OK</v>
      </c>
      <c r="AB174" s="182" t="str">
        <f t="shared" si="52"/>
        <v>OK</v>
      </c>
      <c r="AC174" s="182" t="str">
        <f t="shared" si="52"/>
        <v>OK</v>
      </c>
      <c r="AD174" s="182" t="str">
        <f t="shared" si="52"/>
        <v>OK</v>
      </c>
      <c r="AE174" s="182" t="str">
        <f t="shared" si="52"/>
        <v>OK</v>
      </c>
      <c r="AF174" s="182" t="str">
        <f t="shared" si="52"/>
        <v>OK</v>
      </c>
      <c r="AG174" s="182" t="str">
        <f t="shared" si="52"/>
        <v>OK</v>
      </c>
      <c r="AH174" s="182" t="str">
        <f t="shared" si="52"/>
        <v>OK</v>
      </c>
      <c r="AI174" s="182" t="str">
        <f t="shared" si="52"/>
        <v>OK</v>
      </c>
      <c r="AJ174" s="182" t="str">
        <f t="shared" si="52"/>
        <v>OK</v>
      </c>
      <c r="AK174" s="182" t="str">
        <f t="shared" si="52"/>
        <v>OK</v>
      </c>
      <c r="AL174" s="183" t="str">
        <f t="shared" si="52"/>
        <v>OK</v>
      </c>
    </row>
    <row r="175" spans="2:38" ht="14.25" hidden="1" outlineLevel="2">
      <c r="B175" s="175" t="s">
        <v>437</v>
      </c>
      <c r="C175" s="176" t="s">
        <v>437</v>
      </c>
      <c r="D175" s="191" t="s">
        <v>438</v>
      </c>
      <c r="E175" s="178" t="s">
        <v>71</v>
      </c>
      <c r="F175" s="179" t="s">
        <v>71</v>
      </c>
      <c r="G175" s="179" t="s">
        <v>71</v>
      </c>
      <c r="H175" s="180" t="s">
        <v>71</v>
      </c>
      <c r="I175" s="181" t="str">
        <f aca="true" t="shared" si="53" ref="I175:AL175">IF(I32&gt;=I33,"OK","BŁĄD")</f>
        <v>OK</v>
      </c>
      <c r="J175" s="182" t="str">
        <f t="shared" si="53"/>
        <v>OK</v>
      </c>
      <c r="K175" s="182" t="str">
        <f t="shared" si="53"/>
        <v>OK</v>
      </c>
      <c r="L175" s="182" t="str">
        <f t="shared" si="53"/>
        <v>OK</v>
      </c>
      <c r="M175" s="182" t="str">
        <f t="shared" si="53"/>
        <v>OK</v>
      </c>
      <c r="N175" s="182" t="str">
        <f t="shared" si="53"/>
        <v>OK</v>
      </c>
      <c r="O175" s="182" t="str">
        <f t="shared" si="53"/>
        <v>OK</v>
      </c>
      <c r="P175" s="182" t="str">
        <f t="shared" si="53"/>
        <v>OK</v>
      </c>
      <c r="Q175" s="182" t="str">
        <f t="shared" si="53"/>
        <v>OK</v>
      </c>
      <c r="R175" s="182" t="str">
        <f t="shared" si="53"/>
        <v>OK</v>
      </c>
      <c r="S175" s="182" t="str">
        <f t="shared" si="53"/>
        <v>OK</v>
      </c>
      <c r="T175" s="182" t="str">
        <f t="shared" si="53"/>
        <v>OK</v>
      </c>
      <c r="U175" s="182" t="str">
        <f t="shared" si="53"/>
        <v>OK</v>
      </c>
      <c r="V175" s="182" t="str">
        <f t="shared" si="53"/>
        <v>OK</v>
      </c>
      <c r="W175" s="182" t="str">
        <f t="shared" si="53"/>
        <v>OK</v>
      </c>
      <c r="X175" s="182" t="str">
        <f t="shared" si="53"/>
        <v>OK</v>
      </c>
      <c r="Y175" s="182" t="str">
        <f t="shared" si="53"/>
        <v>OK</v>
      </c>
      <c r="Z175" s="182" t="str">
        <f t="shared" si="53"/>
        <v>OK</v>
      </c>
      <c r="AA175" s="182" t="str">
        <f t="shared" si="53"/>
        <v>OK</v>
      </c>
      <c r="AB175" s="182" t="str">
        <f t="shared" si="53"/>
        <v>OK</v>
      </c>
      <c r="AC175" s="182" t="str">
        <f t="shared" si="53"/>
        <v>OK</v>
      </c>
      <c r="AD175" s="182" t="str">
        <f t="shared" si="53"/>
        <v>OK</v>
      </c>
      <c r="AE175" s="182" t="str">
        <f t="shared" si="53"/>
        <v>OK</v>
      </c>
      <c r="AF175" s="182" t="str">
        <f t="shared" si="53"/>
        <v>OK</v>
      </c>
      <c r="AG175" s="182" t="str">
        <f t="shared" si="53"/>
        <v>OK</v>
      </c>
      <c r="AH175" s="182" t="str">
        <f t="shared" si="53"/>
        <v>OK</v>
      </c>
      <c r="AI175" s="182" t="str">
        <f t="shared" si="53"/>
        <v>OK</v>
      </c>
      <c r="AJ175" s="182" t="str">
        <f t="shared" si="53"/>
        <v>OK</v>
      </c>
      <c r="AK175" s="182" t="str">
        <f t="shared" si="53"/>
        <v>OK</v>
      </c>
      <c r="AL175" s="183" t="str">
        <f t="shared" si="53"/>
        <v>OK</v>
      </c>
    </row>
    <row r="176" spans="2:38" ht="14.25" hidden="1" outlineLevel="2">
      <c r="B176" s="175" t="s">
        <v>439</v>
      </c>
      <c r="C176" s="176" t="s">
        <v>439</v>
      </c>
      <c r="D176" s="191" t="s">
        <v>440</v>
      </c>
      <c r="E176" s="178" t="s">
        <v>71</v>
      </c>
      <c r="F176" s="179" t="s">
        <v>71</v>
      </c>
      <c r="G176" s="179" t="s">
        <v>71</v>
      </c>
      <c r="H176" s="180" t="s">
        <v>71</v>
      </c>
      <c r="I176" s="181" t="str">
        <f aca="true" t="shared" si="54" ref="I176:AL176">IF(I34&gt;=I35,"OK","BŁĄD")</f>
        <v>OK</v>
      </c>
      <c r="J176" s="182" t="str">
        <f t="shared" si="54"/>
        <v>OK</v>
      </c>
      <c r="K176" s="182" t="str">
        <f t="shared" si="54"/>
        <v>OK</v>
      </c>
      <c r="L176" s="182" t="str">
        <f t="shared" si="54"/>
        <v>OK</v>
      </c>
      <c r="M176" s="182" t="str">
        <f t="shared" si="54"/>
        <v>OK</v>
      </c>
      <c r="N176" s="182" t="str">
        <f t="shared" si="54"/>
        <v>OK</v>
      </c>
      <c r="O176" s="182" t="str">
        <f t="shared" si="54"/>
        <v>OK</v>
      </c>
      <c r="P176" s="182" t="str">
        <f t="shared" si="54"/>
        <v>OK</v>
      </c>
      <c r="Q176" s="182" t="str">
        <f t="shared" si="54"/>
        <v>OK</v>
      </c>
      <c r="R176" s="182" t="str">
        <f t="shared" si="54"/>
        <v>OK</v>
      </c>
      <c r="S176" s="182" t="str">
        <f t="shared" si="54"/>
        <v>OK</v>
      </c>
      <c r="T176" s="182" t="str">
        <f t="shared" si="54"/>
        <v>OK</v>
      </c>
      <c r="U176" s="182" t="str">
        <f t="shared" si="54"/>
        <v>OK</v>
      </c>
      <c r="V176" s="182" t="str">
        <f t="shared" si="54"/>
        <v>OK</v>
      </c>
      <c r="W176" s="182" t="str">
        <f t="shared" si="54"/>
        <v>OK</v>
      </c>
      <c r="X176" s="182" t="str">
        <f t="shared" si="54"/>
        <v>OK</v>
      </c>
      <c r="Y176" s="182" t="str">
        <f t="shared" si="54"/>
        <v>OK</v>
      </c>
      <c r="Z176" s="182" t="str">
        <f t="shared" si="54"/>
        <v>OK</v>
      </c>
      <c r="AA176" s="182" t="str">
        <f t="shared" si="54"/>
        <v>OK</v>
      </c>
      <c r="AB176" s="182" t="str">
        <f t="shared" si="54"/>
        <v>OK</v>
      </c>
      <c r="AC176" s="182" t="str">
        <f t="shared" si="54"/>
        <v>OK</v>
      </c>
      <c r="AD176" s="182" t="str">
        <f t="shared" si="54"/>
        <v>OK</v>
      </c>
      <c r="AE176" s="182" t="str">
        <f t="shared" si="54"/>
        <v>OK</v>
      </c>
      <c r="AF176" s="182" t="str">
        <f t="shared" si="54"/>
        <v>OK</v>
      </c>
      <c r="AG176" s="182" t="str">
        <f t="shared" si="54"/>
        <v>OK</v>
      </c>
      <c r="AH176" s="182" t="str">
        <f t="shared" si="54"/>
        <v>OK</v>
      </c>
      <c r="AI176" s="182" t="str">
        <f t="shared" si="54"/>
        <v>OK</v>
      </c>
      <c r="AJ176" s="182" t="str">
        <f t="shared" si="54"/>
        <v>OK</v>
      </c>
      <c r="AK176" s="182" t="str">
        <f t="shared" si="54"/>
        <v>OK</v>
      </c>
      <c r="AL176" s="183" t="str">
        <f t="shared" si="54"/>
        <v>OK</v>
      </c>
    </row>
    <row r="177" spans="2:38" ht="14.25" hidden="1" outlineLevel="2">
      <c r="B177" s="175" t="s">
        <v>441</v>
      </c>
      <c r="C177" s="176" t="s">
        <v>441</v>
      </c>
      <c r="D177" s="191" t="s">
        <v>442</v>
      </c>
      <c r="E177" s="178" t="s">
        <v>71</v>
      </c>
      <c r="F177" s="179" t="s">
        <v>71</v>
      </c>
      <c r="G177" s="179" t="s">
        <v>71</v>
      </c>
      <c r="H177" s="180" t="s">
        <v>71</v>
      </c>
      <c r="I177" s="181" t="str">
        <f aca="true" t="shared" si="55" ref="I177:AL177">IF(I36&gt;=I37,"OK","BŁĄD")</f>
        <v>OK</v>
      </c>
      <c r="J177" s="182" t="str">
        <f t="shared" si="55"/>
        <v>OK</v>
      </c>
      <c r="K177" s="182" t="str">
        <f t="shared" si="55"/>
        <v>OK</v>
      </c>
      <c r="L177" s="182" t="str">
        <f t="shared" si="55"/>
        <v>OK</v>
      </c>
      <c r="M177" s="182" t="str">
        <f t="shared" si="55"/>
        <v>OK</v>
      </c>
      <c r="N177" s="182" t="str">
        <f t="shared" si="55"/>
        <v>OK</v>
      </c>
      <c r="O177" s="182" t="str">
        <f t="shared" si="55"/>
        <v>OK</v>
      </c>
      <c r="P177" s="182" t="str">
        <f t="shared" si="55"/>
        <v>OK</v>
      </c>
      <c r="Q177" s="182" t="str">
        <f t="shared" si="55"/>
        <v>OK</v>
      </c>
      <c r="R177" s="182" t="str">
        <f t="shared" si="55"/>
        <v>OK</v>
      </c>
      <c r="S177" s="182" t="str">
        <f t="shared" si="55"/>
        <v>OK</v>
      </c>
      <c r="T177" s="182" t="str">
        <f t="shared" si="55"/>
        <v>OK</v>
      </c>
      <c r="U177" s="182" t="str">
        <f t="shared" si="55"/>
        <v>OK</v>
      </c>
      <c r="V177" s="182" t="str">
        <f t="shared" si="55"/>
        <v>OK</v>
      </c>
      <c r="W177" s="182" t="str">
        <f t="shared" si="55"/>
        <v>OK</v>
      </c>
      <c r="X177" s="182" t="str">
        <f t="shared" si="55"/>
        <v>OK</v>
      </c>
      <c r="Y177" s="182" t="str">
        <f t="shared" si="55"/>
        <v>OK</v>
      </c>
      <c r="Z177" s="182" t="str">
        <f t="shared" si="55"/>
        <v>OK</v>
      </c>
      <c r="AA177" s="182" t="str">
        <f t="shared" si="55"/>
        <v>OK</v>
      </c>
      <c r="AB177" s="182" t="str">
        <f t="shared" si="55"/>
        <v>OK</v>
      </c>
      <c r="AC177" s="182" t="str">
        <f t="shared" si="55"/>
        <v>OK</v>
      </c>
      <c r="AD177" s="182" t="str">
        <f t="shared" si="55"/>
        <v>OK</v>
      </c>
      <c r="AE177" s="182" t="str">
        <f t="shared" si="55"/>
        <v>OK</v>
      </c>
      <c r="AF177" s="182" t="str">
        <f t="shared" si="55"/>
        <v>OK</v>
      </c>
      <c r="AG177" s="182" t="str">
        <f t="shared" si="55"/>
        <v>OK</v>
      </c>
      <c r="AH177" s="182" t="str">
        <f t="shared" si="55"/>
        <v>OK</v>
      </c>
      <c r="AI177" s="182" t="str">
        <f t="shared" si="55"/>
        <v>OK</v>
      </c>
      <c r="AJ177" s="182" t="str">
        <f t="shared" si="55"/>
        <v>OK</v>
      </c>
      <c r="AK177" s="182" t="str">
        <f t="shared" si="55"/>
        <v>OK</v>
      </c>
      <c r="AL177" s="183" t="str">
        <f t="shared" si="55"/>
        <v>OK</v>
      </c>
    </row>
    <row r="178" spans="2:38" ht="14.25" hidden="1" outlineLevel="2">
      <c r="B178" s="175" t="s">
        <v>443</v>
      </c>
      <c r="C178" s="176" t="s">
        <v>443</v>
      </c>
      <c r="D178" s="191" t="s">
        <v>444</v>
      </c>
      <c r="E178" s="178" t="s">
        <v>71</v>
      </c>
      <c r="F178" s="179" t="s">
        <v>71</v>
      </c>
      <c r="G178" s="179" t="s">
        <v>71</v>
      </c>
      <c r="H178" s="180" t="s">
        <v>71</v>
      </c>
      <c r="I178" s="181" t="str">
        <f aca="true" t="shared" si="56" ref="I178:AL178">IF(I38&gt;=I39,"OK","BŁĄD")</f>
        <v>OK</v>
      </c>
      <c r="J178" s="182" t="str">
        <f t="shared" si="56"/>
        <v>OK</v>
      </c>
      <c r="K178" s="182" t="str">
        <f t="shared" si="56"/>
        <v>OK</v>
      </c>
      <c r="L178" s="182" t="str">
        <f t="shared" si="56"/>
        <v>OK</v>
      </c>
      <c r="M178" s="182" t="str">
        <f t="shared" si="56"/>
        <v>OK</v>
      </c>
      <c r="N178" s="182" t="str">
        <f t="shared" si="56"/>
        <v>OK</v>
      </c>
      <c r="O178" s="182" t="str">
        <f t="shared" si="56"/>
        <v>OK</v>
      </c>
      <c r="P178" s="182" t="str">
        <f t="shared" si="56"/>
        <v>OK</v>
      </c>
      <c r="Q178" s="182" t="str">
        <f t="shared" si="56"/>
        <v>OK</v>
      </c>
      <c r="R178" s="182" t="str">
        <f t="shared" si="56"/>
        <v>OK</v>
      </c>
      <c r="S178" s="182" t="str">
        <f t="shared" si="56"/>
        <v>OK</v>
      </c>
      <c r="T178" s="182" t="str">
        <f t="shared" si="56"/>
        <v>OK</v>
      </c>
      <c r="U178" s="182" t="str">
        <f t="shared" si="56"/>
        <v>OK</v>
      </c>
      <c r="V178" s="182" t="str">
        <f t="shared" si="56"/>
        <v>OK</v>
      </c>
      <c r="W178" s="182" t="str">
        <f t="shared" si="56"/>
        <v>OK</v>
      </c>
      <c r="X178" s="182" t="str">
        <f t="shared" si="56"/>
        <v>OK</v>
      </c>
      <c r="Y178" s="182" t="str">
        <f t="shared" si="56"/>
        <v>OK</v>
      </c>
      <c r="Z178" s="182" t="str">
        <f t="shared" si="56"/>
        <v>OK</v>
      </c>
      <c r="AA178" s="182" t="str">
        <f t="shared" si="56"/>
        <v>OK</v>
      </c>
      <c r="AB178" s="182" t="str">
        <f t="shared" si="56"/>
        <v>OK</v>
      </c>
      <c r="AC178" s="182" t="str">
        <f t="shared" si="56"/>
        <v>OK</v>
      </c>
      <c r="AD178" s="182" t="str">
        <f t="shared" si="56"/>
        <v>OK</v>
      </c>
      <c r="AE178" s="182" t="str">
        <f t="shared" si="56"/>
        <v>OK</v>
      </c>
      <c r="AF178" s="182" t="str">
        <f t="shared" si="56"/>
        <v>OK</v>
      </c>
      <c r="AG178" s="182" t="str">
        <f t="shared" si="56"/>
        <v>OK</v>
      </c>
      <c r="AH178" s="182" t="str">
        <f t="shared" si="56"/>
        <v>OK</v>
      </c>
      <c r="AI178" s="182" t="str">
        <f t="shared" si="56"/>
        <v>OK</v>
      </c>
      <c r="AJ178" s="182" t="str">
        <f t="shared" si="56"/>
        <v>OK</v>
      </c>
      <c r="AK178" s="182" t="str">
        <f t="shared" si="56"/>
        <v>OK</v>
      </c>
      <c r="AL178" s="183" t="str">
        <f t="shared" si="56"/>
        <v>OK</v>
      </c>
    </row>
    <row r="179" spans="2:38" ht="14.25" hidden="1" outlineLevel="2">
      <c r="B179" s="175" t="s">
        <v>445</v>
      </c>
      <c r="C179" s="176" t="s">
        <v>445</v>
      </c>
      <c r="D179" s="191" t="s">
        <v>446</v>
      </c>
      <c r="E179" s="178" t="s">
        <v>71</v>
      </c>
      <c r="F179" s="179" t="s">
        <v>71</v>
      </c>
      <c r="G179" s="179" t="s">
        <v>71</v>
      </c>
      <c r="H179" s="180" t="s">
        <v>71</v>
      </c>
      <c r="I179" s="181" t="str">
        <f aca="true" t="shared" si="57" ref="I179:AL179">IF(I41&gt;=I42,"OK","BŁĄD")</f>
        <v>OK</v>
      </c>
      <c r="J179" s="182" t="str">
        <f t="shared" si="57"/>
        <v>OK</v>
      </c>
      <c r="K179" s="182" t="str">
        <f t="shared" si="57"/>
        <v>OK</v>
      </c>
      <c r="L179" s="182" t="str">
        <f t="shared" si="57"/>
        <v>OK</v>
      </c>
      <c r="M179" s="182" t="str">
        <f t="shared" si="57"/>
        <v>OK</v>
      </c>
      <c r="N179" s="182" t="str">
        <f t="shared" si="57"/>
        <v>OK</v>
      </c>
      <c r="O179" s="182" t="str">
        <f t="shared" si="57"/>
        <v>OK</v>
      </c>
      <c r="P179" s="182" t="str">
        <f t="shared" si="57"/>
        <v>OK</v>
      </c>
      <c r="Q179" s="182" t="str">
        <f t="shared" si="57"/>
        <v>OK</v>
      </c>
      <c r="R179" s="182" t="str">
        <f t="shared" si="57"/>
        <v>OK</v>
      </c>
      <c r="S179" s="182" t="str">
        <f t="shared" si="57"/>
        <v>OK</v>
      </c>
      <c r="T179" s="182" t="str">
        <f t="shared" si="57"/>
        <v>OK</v>
      </c>
      <c r="U179" s="182" t="str">
        <f t="shared" si="57"/>
        <v>OK</v>
      </c>
      <c r="V179" s="182" t="str">
        <f t="shared" si="57"/>
        <v>OK</v>
      </c>
      <c r="W179" s="182" t="str">
        <f t="shared" si="57"/>
        <v>OK</v>
      </c>
      <c r="X179" s="182" t="str">
        <f t="shared" si="57"/>
        <v>OK</v>
      </c>
      <c r="Y179" s="182" t="str">
        <f t="shared" si="57"/>
        <v>OK</v>
      </c>
      <c r="Z179" s="182" t="str">
        <f t="shared" si="57"/>
        <v>OK</v>
      </c>
      <c r="AA179" s="182" t="str">
        <f t="shared" si="57"/>
        <v>OK</v>
      </c>
      <c r="AB179" s="182" t="str">
        <f t="shared" si="57"/>
        <v>OK</v>
      </c>
      <c r="AC179" s="182" t="str">
        <f t="shared" si="57"/>
        <v>OK</v>
      </c>
      <c r="AD179" s="182" t="str">
        <f t="shared" si="57"/>
        <v>OK</v>
      </c>
      <c r="AE179" s="182" t="str">
        <f t="shared" si="57"/>
        <v>OK</v>
      </c>
      <c r="AF179" s="182" t="str">
        <f t="shared" si="57"/>
        <v>OK</v>
      </c>
      <c r="AG179" s="182" t="str">
        <f t="shared" si="57"/>
        <v>OK</v>
      </c>
      <c r="AH179" s="182" t="str">
        <f t="shared" si="57"/>
        <v>OK</v>
      </c>
      <c r="AI179" s="182" t="str">
        <f t="shared" si="57"/>
        <v>OK</v>
      </c>
      <c r="AJ179" s="182" t="str">
        <f t="shared" si="57"/>
        <v>OK</v>
      </c>
      <c r="AK179" s="182" t="str">
        <f t="shared" si="57"/>
        <v>OK</v>
      </c>
      <c r="AL179" s="183" t="str">
        <f t="shared" si="57"/>
        <v>OK</v>
      </c>
    </row>
    <row r="180" spans="2:38" ht="14.25" hidden="1" outlineLevel="2">
      <c r="B180" s="175" t="s">
        <v>447</v>
      </c>
      <c r="C180" s="176" t="s">
        <v>447</v>
      </c>
      <c r="D180" s="191" t="s">
        <v>448</v>
      </c>
      <c r="E180" s="178" t="s">
        <v>71</v>
      </c>
      <c r="F180" s="179" t="s">
        <v>71</v>
      </c>
      <c r="G180" s="179" t="s">
        <v>71</v>
      </c>
      <c r="H180" s="180" t="s">
        <v>71</v>
      </c>
      <c r="I180" s="181" t="str">
        <f aca="true" t="shared" si="58" ref="I180:AL180">IF(I41&gt;=I63,"OK","BŁĄD")</f>
        <v>OK</v>
      </c>
      <c r="J180" s="182" t="str">
        <f t="shared" si="58"/>
        <v>OK</v>
      </c>
      <c r="K180" s="182" t="str">
        <f t="shared" si="58"/>
        <v>OK</v>
      </c>
      <c r="L180" s="182" t="str">
        <f t="shared" si="58"/>
        <v>OK</v>
      </c>
      <c r="M180" s="182" t="str">
        <f t="shared" si="58"/>
        <v>OK</v>
      </c>
      <c r="N180" s="182" t="str">
        <f t="shared" si="58"/>
        <v>OK</v>
      </c>
      <c r="O180" s="182" t="str">
        <f t="shared" si="58"/>
        <v>OK</v>
      </c>
      <c r="P180" s="182" t="str">
        <f t="shared" si="58"/>
        <v>OK</v>
      </c>
      <c r="Q180" s="182" t="str">
        <f t="shared" si="58"/>
        <v>OK</v>
      </c>
      <c r="R180" s="182" t="str">
        <f t="shared" si="58"/>
        <v>OK</v>
      </c>
      <c r="S180" s="182" t="str">
        <f t="shared" si="58"/>
        <v>OK</v>
      </c>
      <c r="T180" s="182" t="str">
        <f t="shared" si="58"/>
        <v>OK</v>
      </c>
      <c r="U180" s="182" t="str">
        <f t="shared" si="58"/>
        <v>OK</v>
      </c>
      <c r="V180" s="182" t="str">
        <f t="shared" si="58"/>
        <v>OK</v>
      </c>
      <c r="W180" s="182" t="str">
        <f t="shared" si="58"/>
        <v>OK</v>
      </c>
      <c r="X180" s="182" t="str">
        <f t="shared" si="58"/>
        <v>OK</v>
      </c>
      <c r="Y180" s="182" t="str">
        <f t="shared" si="58"/>
        <v>OK</v>
      </c>
      <c r="Z180" s="182" t="str">
        <f t="shared" si="58"/>
        <v>OK</v>
      </c>
      <c r="AA180" s="182" t="str">
        <f t="shared" si="58"/>
        <v>OK</v>
      </c>
      <c r="AB180" s="182" t="str">
        <f t="shared" si="58"/>
        <v>OK</v>
      </c>
      <c r="AC180" s="182" t="str">
        <f t="shared" si="58"/>
        <v>OK</v>
      </c>
      <c r="AD180" s="182" t="str">
        <f t="shared" si="58"/>
        <v>OK</v>
      </c>
      <c r="AE180" s="182" t="str">
        <f t="shared" si="58"/>
        <v>OK</v>
      </c>
      <c r="AF180" s="182" t="str">
        <f t="shared" si="58"/>
        <v>OK</v>
      </c>
      <c r="AG180" s="182" t="str">
        <f t="shared" si="58"/>
        <v>OK</v>
      </c>
      <c r="AH180" s="182" t="str">
        <f t="shared" si="58"/>
        <v>OK</v>
      </c>
      <c r="AI180" s="182" t="str">
        <f t="shared" si="58"/>
        <v>OK</v>
      </c>
      <c r="AJ180" s="182" t="str">
        <f t="shared" si="58"/>
        <v>OK</v>
      </c>
      <c r="AK180" s="182" t="str">
        <f t="shared" si="58"/>
        <v>OK</v>
      </c>
      <c r="AL180" s="183" t="str">
        <f t="shared" si="58"/>
        <v>OK</v>
      </c>
    </row>
    <row r="181" spans="2:38" ht="14.25" hidden="1" outlineLevel="2">
      <c r="B181" s="175" t="s">
        <v>449</v>
      </c>
      <c r="C181" s="176" t="s">
        <v>449</v>
      </c>
      <c r="D181" s="191" t="s">
        <v>450</v>
      </c>
      <c r="E181" s="178" t="s">
        <v>71</v>
      </c>
      <c r="F181" s="179" t="s">
        <v>71</v>
      </c>
      <c r="G181" s="179" t="s">
        <v>71</v>
      </c>
      <c r="H181" s="180" t="s">
        <v>71</v>
      </c>
      <c r="I181" s="181" t="str">
        <f aca="true" t="shared" si="59" ref="I181:AL181">IF(I41&gt;=I103,"OK","BŁĄD")</f>
        <v>OK</v>
      </c>
      <c r="J181" s="182" t="str">
        <f t="shared" si="59"/>
        <v>OK</v>
      </c>
      <c r="K181" s="182" t="str">
        <f t="shared" si="59"/>
        <v>OK</v>
      </c>
      <c r="L181" s="182" t="str">
        <f t="shared" si="59"/>
        <v>OK</v>
      </c>
      <c r="M181" s="182" t="str">
        <f t="shared" si="59"/>
        <v>OK</v>
      </c>
      <c r="N181" s="182" t="str">
        <f t="shared" si="59"/>
        <v>OK</v>
      </c>
      <c r="O181" s="182" t="str">
        <f t="shared" si="59"/>
        <v>OK</v>
      </c>
      <c r="P181" s="182" t="str">
        <f t="shared" si="59"/>
        <v>OK</v>
      </c>
      <c r="Q181" s="182" t="str">
        <f t="shared" si="59"/>
        <v>OK</v>
      </c>
      <c r="R181" s="182" t="str">
        <f t="shared" si="59"/>
        <v>OK</v>
      </c>
      <c r="S181" s="182" t="str">
        <f t="shared" si="59"/>
        <v>OK</v>
      </c>
      <c r="T181" s="182" t="str">
        <f t="shared" si="59"/>
        <v>OK</v>
      </c>
      <c r="U181" s="182" t="str">
        <f t="shared" si="59"/>
        <v>OK</v>
      </c>
      <c r="V181" s="182" t="str">
        <f t="shared" si="59"/>
        <v>OK</v>
      </c>
      <c r="W181" s="182" t="str">
        <f t="shared" si="59"/>
        <v>OK</v>
      </c>
      <c r="X181" s="182" t="str">
        <f t="shared" si="59"/>
        <v>OK</v>
      </c>
      <c r="Y181" s="182" t="str">
        <f t="shared" si="59"/>
        <v>OK</v>
      </c>
      <c r="Z181" s="182" t="str">
        <f t="shared" si="59"/>
        <v>OK</v>
      </c>
      <c r="AA181" s="182" t="str">
        <f t="shared" si="59"/>
        <v>OK</v>
      </c>
      <c r="AB181" s="182" t="str">
        <f t="shared" si="59"/>
        <v>OK</v>
      </c>
      <c r="AC181" s="182" t="str">
        <f t="shared" si="59"/>
        <v>OK</v>
      </c>
      <c r="AD181" s="182" t="str">
        <f t="shared" si="59"/>
        <v>OK</v>
      </c>
      <c r="AE181" s="182" t="str">
        <f t="shared" si="59"/>
        <v>OK</v>
      </c>
      <c r="AF181" s="182" t="str">
        <f t="shared" si="59"/>
        <v>OK</v>
      </c>
      <c r="AG181" s="182" t="str">
        <f t="shared" si="59"/>
        <v>OK</v>
      </c>
      <c r="AH181" s="182" t="str">
        <f t="shared" si="59"/>
        <v>OK</v>
      </c>
      <c r="AI181" s="182" t="str">
        <f t="shared" si="59"/>
        <v>OK</v>
      </c>
      <c r="AJ181" s="182" t="str">
        <f t="shared" si="59"/>
        <v>OK</v>
      </c>
      <c r="AK181" s="182" t="str">
        <f t="shared" si="59"/>
        <v>OK</v>
      </c>
      <c r="AL181" s="183" t="str">
        <f t="shared" si="59"/>
        <v>OK</v>
      </c>
    </row>
    <row r="182" spans="2:38" ht="14.25" hidden="1" outlineLevel="2">
      <c r="B182" s="175" t="s">
        <v>451</v>
      </c>
      <c r="C182" s="176" t="s">
        <v>451</v>
      </c>
      <c r="D182" s="191" t="s">
        <v>452</v>
      </c>
      <c r="E182" s="178" t="s">
        <v>71</v>
      </c>
      <c r="F182" s="179" t="s">
        <v>71</v>
      </c>
      <c r="G182" s="179" t="s">
        <v>71</v>
      </c>
      <c r="H182" s="180" t="s">
        <v>71</v>
      </c>
      <c r="I182" s="181" t="str">
        <f aca="true" t="shared" si="60" ref="I182:AL182">IF(I47&gt;=I48,"OK","BŁĄD")</f>
        <v>OK</v>
      </c>
      <c r="J182" s="182" t="str">
        <f t="shared" si="60"/>
        <v>OK</v>
      </c>
      <c r="K182" s="182" t="str">
        <f t="shared" si="60"/>
        <v>OK</v>
      </c>
      <c r="L182" s="182" t="str">
        <f t="shared" si="60"/>
        <v>OK</v>
      </c>
      <c r="M182" s="182" t="str">
        <f t="shared" si="60"/>
        <v>OK</v>
      </c>
      <c r="N182" s="182" t="str">
        <f t="shared" si="60"/>
        <v>OK</v>
      </c>
      <c r="O182" s="182" t="str">
        <f t="shared" si="60"/>
        <v>OK</v>
      </c>
      <c r="P182" s="182" t="str">
        <f t="shared" si="60"/>
        <v>OK</v>
      </c>
      <c r="Q182" s="182" t="str">
        <f t="shared" si="60"/>
        <v>OK</v>
      </c>
      <c r="R182" s="182" t="str">
        <f t="shared" si="60"/>
        <v>OK</v>
      </c>
      <c r="S182" s="182" t="str">
        <f t="shared" si="60"/>
        <v>OK</v>
      </c>
      <c r="T182" s="182" t="str">
        <f t="shared" si="60"/>
        <v>OK</v>
      </c>
      <c r="U182" s="182" t="str">
        <f t="shared" si="60"/>
        <v>OK</v>
      </c>
      <c r="V182" s="182" t="str">
        <f t="shared" si="60"/>
        <v>OK</v>
      </c>
      <c r="W182" s="182" t="str">
        <f t="shared" si="60"/>
        <v>OK</v>
      </c>
      <c r="X182" s="182" t="str">
        <f t="shared" si="60"/>
        <v>OK</v>
      </c>
      <c r="Y182" s="182" t="str">
        <f t="shared" si="60"/>
        <v>OK</v>
      </c>
      <c r="Z182" s="182" t="str">
        <f t="shared" si="60"/>
        <v>OK</v>
      </c>
      <c r="AA182" s="182" t="str">
        <f t="shared" si="60"/>
        <v>OK</v>
      </c>
      <c r="AB182" s="182" t="str">
        <f t="shared" si="60"/>
        <v>OK</v>
      </c>
      <c r="AC182" s="182" t="str">
        <f t="shared" si="60"/>
        <v>OK</v>
      </c>
      <c r="AD182" s="182" t="str">
        <f t="shared" si="60"/>
        <v>OK</v>
      </c>
      <c r="AE182" s="182" t="str">
        <f t="shared" si="60"/>
        <v>OK</v>
      </c>
      <c r="AF182" s="182" t="str">
        <f t="shared" si="60"/>
        <v>OK</v>
      </c>
      <c r="AG182" s="182" t="str">
        <f t="shared" si="60"/>
        <v>OK</v>
      </c>
      <c r="AH182" s="182" t="str">
        <f t="shared" si="60"/>
        <v>OK</v>
      </c>
      <c r="AI182" s="182" t="str">
        <f t="shared" si="60"/>
        <v>OK</v>
      </c>
      <c r="AJ182" s="182" t="str">
        <f t="shared" si="60"/>
        <v>OK</v>
      </c>
      <c r="AK182" s="182" t="str">
        <f t="shared" si="60"/>
        <v>OK</v>
      </c>
      <c r="AL182" s="183" t="str">
        <f t="shared" si="60"/>
        <v>OK</v>
      </c>
    </row>
    <row r="183" spans="2:38" ht="14.25" hidden="1" outlineLevel="2">
      <c r="B183" s="175" t="s">
        <v>453</v>
      </c>
      <c r="C183" s="176" t="s">
        <v>453</v>
      </c>
      <c r="D183" s="191" t="s">
        <v>454</v>
      </c>
      <c r="E183" s="178" t="s">
        <v>71</v>
      </c>
      <c r="F183" s="179" t="s">
        <v>71</v>
      </c>
      <c r="G183" s="179" t="s">
        <v>71</v>
      </c>
      <c r="H183" s="180" t="s">
        <v>71</v>
      </c>
      <c r="I183" s="181" t="str">
        <f aca="true" t="shared" si="61" ref="I183:AL183">IF(I47&gt;=I104,"OK","BŁĄD")</f>
        <v>OK</v>
      </c>
      <c r="J183" s="182" t="str">
        <f t="shared" si="61"/>
        <v>OK</v>
      </c>
      <c r="K183" s="182" t="str">
        <f t="shared" si="61"/>
        <v>OK</v>
      </c>
      <c r="L183" s="182" t="str">
        <f t="shared" si="61"/>
        <v>OK</v>
      </c>
      <c r="M183" s="182" t="str">
        <f t="shared" si="61"/>
        <v>OK</v>
      </c>
      <c r="N183" s="182" t="str">
        <f t="shared" si="61"/>
        <v>OK</v>
      </c>
      <c r="O183" s="182" t="str">
        <f t="shared" si="61"/>
        <v>OK</v>
      </c>
      <c r="P183" s="182" t="str">
        <f t="shared" si="61"/>
        <v>OK</v>
      </c>
      <c r="Q183" s="182" t="str">
        <f t="shared" si="61"/>
        <v>OK</v>
      </c>
      <c r="R183" s="182" t="str">
        <f t="shared" si="61"/>
        <v>OK</v>
      </c>
      <c r="S183" s="182" t="str">
        <f t="shared" si="61"/>
        <v>OK</v>
      </c>
      <c r="T183" s="182" t="str">
        <f t="shared" si="61"/>
        <v>OK</v>
      </c>
      <c r="U183" s="182" t="str">
        <f t="shared" si="61"/>
        <v>OK</v>
      </c>
      <c r="V183" s="182" t="str">
        <f t="shared" si="61"/>
        <v>OK</v>
      </c>
      <c r="W183" s="182" t="str">
        <f t="shared" si="61"/>
        <v>OK</v>
      </c>
      <c r="X183" s="182" t="str">
        <f t="shared" si="61"/>
        <v>OK</v>
      </c>
      <c r="Y183" s="182" t="str">
        <f t="shared" si="61"/>
        <v>OK</v>
      </c>
      <c r="Z183" s="182" t="str">
        <f t="shared" si="61"/>
        <v>OK</v>
      </c>
      <c r="AA183" s="182" t="str">
        <f t="shared" si="61"/>
        <v>OK</v>
      </c>
      <c r="AB183" s="182" t="str">
        <f t="shared" si="61"/>
        <v>OK</v>
      </c>
      <c r="AC183" s="182" t="str">
        <f t="shared" si="61"/>
        <v>OK</v>
      </c>
      <c r="AD183" s="182" t="str">
        <f t="shared" si="61"/>
        <v>OK</v>
      </c>
      <c r="AE183" s="182" t="str">
        <f t="shared" si="61"/>
        <v>OK</v>
      </c>
      <c r="AF183" s="182" t="str">
        <f t="shared" si="61"/>
        <v>OK</v>
      </c>
      <c r="AG183" s="182" t="str">
        <f t="shared" si="61"/>
        <v>OK</v>
      </c>
      <c r="AH183" s="182" t="str">
        <f t="shared" si="61"/>
        <v>OK</v>
      </c>
      <c r="AI183" s="182" t="str">
        <f t="shared" si="61"/>
        <v>OK</v>
      </c>
      <c r="AJ183" s="182" t="str">
        <f t="shared" si="61"/>
        <v>OK</v>
      </c>
      <c r="AK183" s="182" t="str">
        <f t="shared" si="61"/>
        <v>OK</v>
      </c>
      <c r="AL183" s="183" t="str">
        <f t="shared" si="61"/>
        <v>OK</v>
      </c>
    </row>
    <row r="184" spans="2:38" ht="14.25" hidden="1" outlineLevel="2">
      <c r="B184" s="175" t="s">
        <v>455</v>
      </c>
      <c r="C184" s="176" t="s">
        <v>455</v>
      </c>
      <c r="D184" s="191" t="s">
        <v>456</v>
      </c>
      <c r="E184" s="178" t="s">
        <v>71</v>
      </c>
      <c r="F184" s="179" t="s">
        <v>71</v>
      </c>
      <c r="G184" s="179" t="s">
        <v>71</v>
      </c>
      <c r="H184" s="180" t="s">
        <v>71</v>
      </c>
      <c r="I184" s="181" t="str">
        <f aca="true" t="shared" si="62" ref="I184:AL184">IF(I48&gt;=I95,"OK","BŁĄD")</f>
        <v>OK</v>
      </c>
      <c r="J184" s="182" t="str">
        <f t="shared" si="62"/>
        <v>OK</v>
      </c>
      <c r="K184" s="182" t="str">
        <f t="shared" si="62"/>
        <v>OK</v>
      </c>
      <c r="L184" s="182" t="str">
        <f t="shared" si="62"/>
        <v>OK</v>
      </c>
      <c r="M184" s="182" t="str">
        <f t="shared" si="62"/>
        <v>OK</v>
      </c>
      <c r="N184" s="182" t="str">
        <f t="shared" si="62"/>
        <v>OK</v>
      </c>
      <c r="O184" s="182" t="str">
        <f t="shared" si="62"/>
        <v>OK</v>
      </c>
      <c r="P184" s="182" t="str">
        <f t="shared" si="62"/>
        <v>OK</v>
      </c>
      <c r="Q184" s="182" t="str">
        <f t="shared" si="62"/>
        <v>OK</v>
      </c>
      <c r="R184" s="182" t="str">
        <f t="shared" si="62"/>
        <v>OK</v>
      </c>
      <c r="S184" s="182" t="str">
        <f t="shared" si="62"/>
        <v>OK</v>
      </c>
      <c r="T184" s="182" t="str">
        <f t="shared" si="62"/>
        <v>OK</v>
      </c>
      <c r="U184" s="182" t="str">
        <f t="shared" si="62"/>
        <v>OK</v>
      </c>
      <c r="V184" s="182" t="str">
        <f t="shared" si="62"/>
        <v>OK</v>
      </c>
      <c r="W184" s="182" t="str">
        <f t="shared" si="62"/>
        <v>OK</v>
      </c>
      <c r="X184" s="182" t="str">
        <f t="shared" si="62"/>
        <v>OK</v>
      </c>
      <c r="Y184" s="182" t="str">
        <f t="shared" si="62"/>
        <v>OK</v>
      </c>
      <c r="Z184" s="182" t="str">
        <f t="shared" si="62"/>
        <v>OK</v>
      </c>
      <c r="AA184" s="182" t="str">
        <f t="shared" si="62"/>
        <v>OK</v>
      </c>
      <c r="AB184" s="182" t="str">
        <f t="shared" si="62"/>
        <v>OK</v>
      </c>
      <c r="AC184" s="182" t="str">
        <f t="shared" si="62"/>
        <v>OK</v>
      </c>
      <c r="AD184" s="182" t="str">
        <f t="shared" si="62"/>
        <v>OK</v>
      </c>
      <c r="AE184" s="182" t="str">
        <f t="shared" si="62"/>
        <v>OK</v>
      </c>
      <c r="AF184" s="182" t="str">
        <f t="shared" si="62"/>
        <v>OK</v>
      </c>
      <c r="AG184" s="182" t="str">
        <f t="shared" si="62"/>
        <v>OK</v>
      </c>
      <c r="AH184" s="182" t="str">
        <f t="shared" si="62"/>
        <v>OK</v>
      </c>
      <c r="AI184" s="182" t="str">
        <f t="shared" si="62"/>
        <v>OK</v>
      </c>
      <c r="AJ184" s="182" t="str">
        <f t="shared" si="62"/>
        <v>OK</v>
      </c>
      <c r="AK184" s="182" t="str">
        <f t="shared" si="62"/>
        <v>OK</v>
      </c>
      <c r="AL184" s="183" t="str">
        <f t="shared" si="62"/>
        <v>OK</v>
      </c>
    </row>
    <row r="185" spans="2:38" ht="14.25" hidden="1" outlineLevel="2">
      <c r="B185" s="195" t="s">
        <v>457</v>
      </c>
      <c r="C185" s="196" t="s">
        <v>457</v>
      </c>
      <c r="D185" s="197" t="s">
        <v>458</v>
      </c>
      <c r="E185" s="198" t="s">
        <v>71</v>
      </c>
      <c r="F185" s="199" t="s">
        <v>71</v>
      </c>
      <c r="G185" s="199" t="s">
        <v>71</v>
      </c>
      <c r="H185" s="200" t="s">
        <v>71</v>
      </c>
      <c r="I185" s="201" t="str">
        <f aca="true" t="shared" si="63" ref="I185:AL185">IF(I25&lt;&gt;0,IF(I26&lt;&gt;0,"OK","BŁĄD"),"N/D")</f>
        <v>OK</v>
      </c>
      <c r="J185" s="202" t="str">
        <f t="shared" si="63"/>
        <v>OK</v>
      </c>
      <c r="K185" s="202" t="str">
        <f t="shared" si="63"/>
        <v>OK</v>
      </c>
      <c r="L185" s="202" t="str">
        <f t="shared" si="63"/>
        <v>OK</v>
      </c>
      <c r="M185" s="202" t="str">
        <f t="shared" si="63"/>
        <v>OK</v>
      </c>
      <c r="N185" s="202" t="str">
        <f t="shared" si="63"/>
        <v>OK</v>
      </c>
      <c r="O185" s="202" t="str">
        <f t="shared" si="63"/>
        <v>OK</v>
      </c>
      <c r="P185" s="202" t="str">
        <f t="shared" si="63"/>
        <v>OK</v>
      </c>
      <c r="Q185" s="202" t="str">
        <f t="shared" si="63"/>
        <v>OK</v>
      </c>
      <c r="R185" s="202" t="str">
        <f t="shared" si="63"/>
        <v>N/D</v>
      </c>
      <c r="S185" s="202" t="str">
        <f t="shared" si="63"/>
        <v>N/D</v>
      </c>
      <c r="T185" s="202" t="str">
        <f t="shared" si="63"/>
        <v>N/D</v>
      </c>
      <c r="U185" s="202" t="str">
        <f t="shared" si="63"/>
        <v>N/D</v>
      </c>
      <c r="V185" s="202" t="str">
        <f t="shared" si="63"/>
        <v>N/D</v>
      </c>
      <c r="W185" s="202" t="str">
        <f t="shared" si="63"/>
        <v>N/D</v>
      </c>
      <c r="X185" s="202" t="str">
        <f t="shared" si="63"/>
        <v>N/D</v>
      </c>
      <c r="Y185" s="202" t="str">
        <f t="shared" si="63"/>
        <v>N/D</v>
      </c>
      <c r="Z185" s="202" t="str">
        <f t="shared" si="63"/>
        <v>N/D</v>
      </c>
      <c r="AA185" s="202" t="str">
        <f t="shared" si="63"/>
        <v>N/D</v>
      </c>
      <c r="AB185" s="202" t="str">
        <f t="shared" si="63"/>
        <v>N/D</v>
      </c>
      <c r="AC185" s="202" t="str">
        <f t="shared" si="63"/>
        <v>N/D</v>
      </c>
      <c r="AD185" s="202" t="str">
        <f t="shared" si="63"/>
        <v>N/D</v>
      </c>
      <c r="AE185" s="202" t="str">
        <f t="shared" si="63"/>
        <v>N/D</v>
      </c>
      <c r="AF185" s="202" t="str">
        <f t="shared" si="63"/>
        <v>N/D</v>
      </c>
      <c r="AG185" s="202" t="str">
        <f t="shared" si="63"/>
        <v>N/D</v>
      </c>
      <c r="AH185" s="202" t="str">
        <f t="shared" si="63"/>
        <v>N/D</v>
      </c>
      <c r="AI185" s="202" t="str">
        <f t="shared" si="63"/>
        <v>N/D</v>
      </c>
      <c r="AJ185" s="202" t="str">
        <f t="shared" si="63"/>
        <v>N/D</v>
      </c>
      <c r="AK185" s="202" t="str">
        <f t="shared" si="63"/>
        <v>N/D</v>
      </c>
      <c r="AL185" s="203" t="str">
        <f t="shared" si="63"/>
        <v>N/D</v>
      </c>
    </row>
    <row r="186" spans="2:38" ht="14.25" hidden="1" outlineLevel="2">
      <c r="B186" s="204"/>
      <c r="C186" s="204"/>
      <c r="D186" s="204"/>
      <c r="E186" s="205"/>
      <c r="F186" s="205"/>
      <c r="G186" s="205"/>
      <c r="H186" s="205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</row>
    <row r="187" spans="2:38" ht="14.25" hidden="1" outlineLevel="1">
      <c r="B187" s="204"/>
      <c r="C187" s="204"/>
      <c r="D187" s="165" t="s">
        <v>459</v>
      </c>
      <c r="E187" s="205"/>
      <c r="F187" s="205"/>
      <c r="G187" s="205"/>
      <c r="H187" s="205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</row>
    <row r="188" spans="2:39" ht="15" hidden="1" outlineLevel="2">
      <c r="B188" s="207"/>
      <c r="C188" s="208"/>
      <c r="D188" s="209" t="s">
        <v>460</v>
      </c>
      <c r="E188" s="210">
        <f aca="true" t="shared" si="64" ref="E188:AL188">E10+E17</f>
        <v>20245143.630000003</v>
      </c>
      <c r="F188" s="211">
        <f t="shared" si="64"/>
        <v>20184871.67</v>
      </c>
      <c r="G188" s="211">
        <f t="shared" si="64"/>
        <v>22113351.9</v>
      </c>
      <c r="H188" s="212">
        <f t="shared" si="64"/>
        <v>19717290.16</v>
      </c>
      <c r="I188" s="213">
        <f t="shared" si="64"/>
        <v>22953286.29</v>
      </c>
      <c r="J188" s="214">
        <f t="shared" si="64"/>
        <v>19584862</v>
      </c>
      <c r="K188" s="214">
        <f t="shared" si="64"/>
        <v>19780710</v>
      </c>
      <c r="L188" s="214">
        <f t="shared" si="64"/>
        <v>19978517</v>
      </c>
      <c r="M188" s="214">
        <f t="shared" si="64"/>
        <v>20178302</v>
      </c>
      <c r="N188" s="214">
        <f t="shared" si="64"/>
        <v>20380086</v>
      </c>
      <c r="O188" s="214">
        <f t="shared" si="64"/>
        <v>20583886</v>
      </c>
      <c r="P188" s="214">
        <f t="shared" si="64"/>
        <v>20789725</v>
      </c>
      <c r="Q188" s="214">
        <f t="shared" si="64"/>
        <v>20997622</v>
      </c>
      <c r="R188" s="214">
        <f t="shared" si="64"/>
        <v>0</v>
      </c>
      <c r="S188" s="214">
        <f t="shared" si="64"/>
        <v>0</v>
      </c>
      <c r="T188" s="214">
        <f t="shared" si="64"/>
        <v>0</v>
      </c>
      <c r="U188" s="214">
        <f t="shared" si="64"/>
        <v>0</v>
      </c>
      <c r="V188" s="214">
        <f t="shared" si="64"/>
        <v>0</v>
      </c>
      <c r="W188" s="214">
        <f t="shared" si="64"/>
        <v>0</v>
      </c>
      <c r="X188" s="214">
        <f t="shared" si="64"/>
        <v>0</v>
      </c>
      <c r="Y188" s="214">
        <f t="shared" si="64"/>
        <v>0</v>
      </c>
      <c r="Z188" s="214">
        <f t="shared" si="64"/>
        <v>0</v>
      </c>
      <c r="AA188" s="214">
        <f t="shared" si="64"/>
        <v>0</v>
      </c>
      <c r="AB188" s="214">
        <f t="shared" si="64"/>
        <v>0</v>
      </c>
      <c r="AC188" s="214">
        <f t="shared" si="64"/>
        <v>0</v>
      </c>
      <c r="AD188" s="214">
        <f t="shared" si="64"/>
        <v>0</v>
      </c>
      <c r="AE188" s="214">
        <f t="shared" si="64"/>
        <v>0</v>
      </c>
      <c r="AF188" s="214">
        <f t="shared" si="64"/>
        <v>0</v>
      </c>
      <c r="AG188" s="214">
        <f t="shared" si="64"/>
        <v>0</v>
      </c>
      <c r="AH188" s="214">
        <f t="shared" si="64"/>
        <v>0</v>
      </c>
      <c r="AI188" s="214">
        <f t="shared" si="64"/>
        <v>0</v>
      </c>
      <c r="AJ188" s="214">
        <f t="shared" si="64"/>
        <v>0</v>
      </c>
      <c r="AK188" s="214">
        <f t="shared" si="64"/>
        <v>0</v>
      </c>
      <c r="AL188" s="215">
        <f t="shared" si="64"/>
        <v>0</v>
      </c>
      <c r="AM188" s="207"/>
    </row>
    <row r="189" spans="2:39" ht="15" hidden="1" outlineLevel="2">
      <c r="B189" s="207"/>
      <c r="C189" s="208"/>
      <c r="D189" s="216" t="s">
        <v>461</v>
      </c>
      <c r="E189" s="217">
        <f aca="true" t="shared" si="65" ref="E189:AL189">E21+E29</f>
        <v>24474004.48</v>
      </c>
      <c r="F189" s="218">
        <f t="shared" si="65"/>
        <v>19823836.72</v>
      </c>
      <c r="G189" s="218">
        <f t="shared" si="65"/>
        <v>20248830.9</v>
      </c>
      <c r="H189" s="219">
        <f t="shared" si="65"/>
        <v>17803623.72</v>
      </c>
      <c r="I189" s="220">
        <f t="shared" si="65"/>
        <v>20864924.19</v>
      </c>
      <c r="J189" s="221">
        <f t="shared" si="65"/>
        <v>17620346</v>
      </c>
      <c r="K189" s="221">
        <f t="shared" si="65"/>
        <v>17816194</v>
      </c>
      <c r="L189" s="221">
        <f t="shared" si="65"/>
        <v>18014001</v>
      </c>
      <c r="M189" s="221">
        <f t="shared" si="65"/>
        <v>18213786</v>
      </c>
      <c r="N189" s="221">
        <f t="shared" si="65"/>
        <v>18455570</v>
      </c>
      <c r="O189" s="221">
        <f t="shared" si="65"/>
        <v>19562720.46</v>
      </c>
      <c r="P189" s="221">
        <f t="shared" si="65"/>
        <v>20419725</v>
      </c>
      <c r="Q189" s="221">
        <f t="shared" si="65"/>
        <v>20727622</v>
      </c>
      <c r="R189" s="221">
        <f t="shared" si="65"/>
        <v>0</v>
      </c>
      <c r="S189" s="221">
        <f t="shared" si="65"/>
        <v>0</v>
      </c>
      <c r="T189" s="221">
        <f t="shared" si="65"/>
        <v>0</v>
      </c>
      <c r="U189" s="221">
        <f t="shared" si="65"/>
        <v>0</v>
      </c>
      <c r="V189" s="221">
        <f t="shared" si="65"/>
        <v>0</v>
      </c>
      <c r="W189" s="221">
        <f t="shared" si="65"/>
        <v>0</v>
      </c>
      <c r="X189" s="221">
        <f t="shared" si="65"/>
        <v>0</v>
      </c>
      <c r="Y189" s="221">
        <f t="shared" si="65"/>
        <v>0</v>
      </c>
      <c r="Z189" s="221">
        <f t="shared" si="65"/>
        <v>0</v>
      </c>
      <c r="AA189" s="221">
        <f t="shared" si="65"/>
        <v>0</v>
      </c>
      <c r="AB189" s="221">
        <f t="shared" si="65"/>
        <v>0</v>
      </c>
      <c r="AC189" s="221">
        <f t="shared" si="65"/>
        <v>0</v>
      </c>
      <c r="AD189" s="221">
        <f t="shared" si="65"/>
        <v>0</v>
      </c>
      <c r="AE189" s="221">
        <f t="shared" si="65"/>
        <v>0</v>
      </c>
      <c r="AF189" s="221">
        <f t="shared" si="65"/>
        <v>0</v>
      </c>
      <c r="AG189" s="221">
        <f t="shared" si="65"/>
        <v>0</v>
      </c>
      <c r="AH189" s="221">
        <f t="shared" si="65"/>
        <v>0</v>
      </c>
      <c r="AI189" s="221">
        <f t="shared" si="65"/>
        <v>0</v>
      </c>
      <c r="AJ189" s="221">
        <f t="shared" si="65"/>
        <v>0</v>
      </c>
      <c r="AK189" s="221">
        <f t="shared" si="65"/>
        <v>0</v>
      </c>
      <c r="AL189" s="222">
        <f t="shared" si="65"/>
        <v>0</v>
      </c>
      <c r="AM189" s="207"/>
    </row>
    <row r="190" spans="2:39" ht="15" hidden="1" outlineLevel="2">
      <c r="B190" s="207"/>
      <c r="C190" s="208"/>
      <c r="D190" s="216" t="s">
        <v>462</v>
      </c>
      <c r="E190" s="217">
        <f aca="true" t="shared" si="66" ref="E190:AL190">E9-E20</f>
        <v>-4228860.8500000015</v>
      </c>
      <c r="F190" s="218">
        <f t="shared" si="66"/>
        <v>361034.950000003</v>
      </c>
      <c r="G190" s="218">
        <f t="shared" si="66"/>
        <v>1864521</v>
      </c>
      <c r="H190" s="219">
        <f t="shared" si="66"/>
        <v>1913666.4400000013</v>
      </c>
      <c r="I190" s="220">
        <f t="shared" si="66"/>
        <v>2088362.0999999978</v>
      </c>
      <c r="J190" s="221">
        <f t="shared" si="66"/>
        <v>1964516</v>
      </c>
      <c r="K190" s="221">
        <f t="shared" si="66"/>
        <v>1964516</v>
      </c>
      <c r="L190" s="221">
        <f t="shared" si="66"/>
        <v>1964516</v>
      </c>
      <c r="M190" s="221">
        <f t="shared" si="66"/>
        <v>1964516</v>
      </c>
      <c r="N190" s="221">
        <f t="shared" si="66"/>
        <v>1924516</v>
      </c>
      <c r="O190" s="221">
        <f t="shared" si="66"/>
        <v>1021165.5399999991</v>
      </c>
      <c r="P190" s="221">
        <f t="shared" si="66"/>
        <v>370000</v>
      </c>
      <c r="Q190" s="221">
        <f t="shared" si="66"/>
        <v>270000</v>
      </c>
      <c r="R190" s="221">
        <f t="shared" si="66"/>
        <v>0</v>
      </c>
      <c r="S190" s="221">
        <f t="shared" si="66"/>
        <v>0</v>
      </c>
      <c r="T190" s="221">
        <f t="shared" si="66"/>
        <v>0</v>
      </c>
      <c r="U190" s="221">
        <f t="shared" si="66"/>
        <v>0</v>
      </c>
      <c r="V190" s="221">
        <f t="shared" si="66"/>
        <v>0</v>
      </c>
      <c r="W190" s="221">
        <f t="shared" si="66"/>
        <v>0</v>
      </c>
      <c r="X190" s="221">
        <f t="shared" si="66"/>
        <v>0</v>
      </c>
      <c r="Y190" s="221">
        <f t="shared" si="66"/>
        <v>0</v>
      </c>
      <c r="Z190" s="221">
        <f t="shared" si="66"/>
        <v>0</v>
      </c>
      <c r="AA190" s="221">
        <f t="shared" si="66"/>
        <v>0</v>
      </c>
      <c r="AB190" s="221">
        <f t="shared" si="66"/>
        <v>0</v>
      </c>
      <c r="AC190" s="221">
        <f t="shared" si="66"/>
        <v>0</v>
      </c>
      <c r="AD190" s="221">
        <f t="shared" si="66"/>
        <v>0</v>
      </c>
      <c r="AE190" s="221">
        <f t="shared" si="66"/>
        <v>0</v>
      </c>
      <c r="AF190" s="221">
        <f t="shared" si="66"/>
        <v>0</v>
      </c>
      <c r="AG190" s="221">
        <f t="shared" si="66"/>
        <v>0</v>
      </c>
      <c r="AH190" s="221">
        <f t="shared" si="66"/>
        <v>0</v>
      </c>
      <c r="AI190" s="221">
        <f t="shared" si="66"/>
        <v>0</v>
      </c>
      <c r="AJ190" s="221">
        <f t="shared" si="66"/>
        <v>0</v>
      </c>
      <c r="AK190" s="221">
        <f t="shared" si="66"/>
        <v>0</v>
      </c>
      <c r="AL190" s="222">
        <f t="shared" si="66"/>
        <v>0</v>
      </c>
      <c r="AM190" s="207"/>
    </row>
    <row r="191" spans="2:39" ht="15" hidden="1" outlineLevel="2">
      <c r="B191" s="207"/>
      <c r="C191" s="208"/>
      <c r="D191" s="223" t="s">
        <v>463</v>
      </c>
      <c r="E191" s="224" t="s">
        <v>71</v>
      </c>
      <c r="F191" s="218">
        <f>E47+F36-F41+(F104-E104)+F109</f>
        <v>17851173.01</v>
      </c>
      <c r="G191" s="225" t="s">
        <v>71</v>
      </c>
      <c r="H191" s="219">
        <f>F47+H36-H41+(H104-F104)+H109</f>
        <v>15616600.020000001</v>
      </c>
      <c r="I191" s="220">
        <f aca="true" t="shared" si="67" ref="I191:AL191">H47+I36-I41+(I104-H104)+I109</f>
        <v>12890441.18</v>
      </c>
      <c r="J191" s="221">
        <f t="shared" si="67"/>
        <v>9818680.42</v>
      </c>
      <c r="K191" s="221">
        <f t="shared" si="67"/>
        <v>7525699.42</v>
      </c>
      <c r="L191" s="221">
        <f t="shared" si="67"/>
        <v>5550197.54</v>
      </c>
      <c r="M191" s="221">
        <f t="shared" si="67"/>
        <v>3585681.54</v>
      </c>
      <c r="N191" s="221">
        <f t="shared" si="67"/>
        <v>1661165.54</v>
      </c>
      <c r="O191" s="221">
        <f t="shared" si="67"/>
        <v>640000</v>
      </c>
      <c r="P191" s="221">
        <f t="shared" si="67"/>
        <v>270000</v>
      </c>
      <c r="Q191" s="221">
        <f t="shared" si="67"/>
        <v>0</v>
      </c>
      <c r="R191" s="221">
        <f t="shared" si="67"/>
        <v>0</v>
      </c>
      <c r="S191" s="221">
        <f t="shared" si="67"/>
        <v>0</v>
      </c>
      <c r="T191" s="221">
        <f t="shared" si="67"/>
        <v>0</v>
      </c>
      <c r="U191" s="221">
        <f t="shared" si="67"/>
        <v>0</v>
      </c>
      <c r="V191" s="221">
        <f t="shared" si="67"/>
        <v>0</v>
      </c>
      <c r="W191" s="221">
        <f t="shared" si="67"/>
        <v>0</v>
      </c>
      <c r="X191" s="221">
        <f t="shared" si="67"/>
        <v>0</v>
      </c>
      <c r="Y191" s="221">
        <f t="shared" si="67"/>
        <v>0</v>
      </c>
      <c r="Z191" s="221">
        <f t="shared" si="67"/>
        <v>0</v>
      </c>
      <c r="AA191" s="221">
        <f t="shared" si="67"/>
        <v>0</v>
      </c>
      <c r="AB191" s="221">
        <f t="shared" si="67"/>
        <v>0</v>
      </c>
      <c r="AC191" s="221">
        <f t="shared" si="67"/>
        <v>0</v>
      </c>
      <c r="AD191" s="221">
        <f t="shared" si="67"/>
        <v>0</v>
      </c>
      <c r="AE191" s="221">
        <f t="shared" si="67"/>
        <v>0</v>
      </c>
      <c r="AF191" s="221">
        <f t="shared" si="67"/>
        <v>0</v>
      </c>
      <c r="AG191" s="221">
        <f t="shared" si="67"/>
        <v>0</v>
      </c>
      <c r="AH191" s="221">
        <f t="shared" si="67"/>
        <v>0</v>
      </c>
      <c r="AI191" s="221">
        <f t="shared" si="67"/>
        <v>0</v>
      </c>
      <c r="AJ191" s="221">
        <f t="shared" si="67"/>
        <v>0</v>
      </c>
      <c r="AK191" s="221">
        <f t="shared" si="67"/>
        <v>0</v>
      </c>
      <c r="AL191" s="222">
        <f t="shared" si="67"/>
        <v>0</v>
      </c>
      <c r="AM191" s="207"/>
    </row>
    <row r="192" spans="2:39" ht="24" hidden="1" outlineLevel="2">
      <c r="B192" s="207"/>
      <c r="C192" s="208"/>
      <c r="D192" s="226" t="s">
        <v>464</v>
      </c>
      <c r="E192" s="227" t="s">
        <v>71</v>
      </c>
      <c r="F192" s="228">
        <f>E95-(F97+F98+F99+F100)</f>
        <v>0</v>
      </c>
      <c r="G192" s="229" t="s">
        <v>71</v>
      </c>
      <c r="H192" s="230">
        <f>F95-(H97+H98+H99+H100)</f>
        <v>0</v>
      </c>
      <c r="I192" s="231">
        <f aca="true" t="shared" si="68" ref="I192:AL192">H95-(I97+I98+I99+I100)</f>
        <v>0</v>
      </c>
      <c r="J192" s="232">
        <f t="shared" si="68"/>
        <v>0</v>
      </c>
      <c r="K192" s="232">
        <f t="shared" si="68"/>
        <v>0</v>
      </c>
      <c r="L192" s="232">
        <f t="shared" si="68"/>
        <v>0</v>
      </c>
      <c r="M192" s="232">
        <f t="shared" si="68"/>
        <v>0</v>
      </c>
      <c r="N192" s="232">
        <f t="shared" si="68"/>
        <v>0</v>
      </c>
      <c r="O192" s="232">
        <f t="shared" si="68"/>
        <v>0</v>
      </c>
      <c r="P192" s="232">
        <f t="shared" si="68"/>
        <v>0</v>
      </c>
      <c r="Q192" s="232">
        <f t="shared" si="68"/>
        <v>0</v>
      </c>
      <c r="R192" s="232">
        <f t="shared" si="68"/>
        <v>0</v>
      </c>
      <c r="S192" s="232">
        <f t="shared" si="68"/>
        <v>0</v>
      </c>
      <c r="T192" s="232">
        <f t="shared" si="68"/>
        <v>0</v>
      </c>
      <c r="U192" s="232">
        <f t="shared" si="68"/>
        <v>0</v>
      </c>
      <c r="V192" s="232">
        <f t="shared" si="68"/>
        <v>0</v>
      </c>
      <c r="W192" s="232">
        <f t="shared" si="68"/>
        <v>0</v>
      </c>
      <c r="X192" s="232">
        <f t="shared" si="68"/>
        <v>0</v>
      </c>
      <c r="Y192" s="232">
        <f t="shared" si="68"/>
        <v>0</v>
      </c>
      <c r="Z192" s="232">
        <f t="shared" si="68"/>
        <v>0</v>
      </c>
      <c r="AA192" s="232">
        <f t="shared" si="68"/>
        <v>0</v>
      </c>
      <c r="AB192" s="232">
        <f t="shared" si="68"/>
        <v>0</v>
      </c>
      <c r="AC192" s="232">
        <f t="shared" si="68"/>
        <v>0</v>
      </c>
      <c r="AD192" s="232">
        <f t="shared" si="68"/>
        <v>0</v>
      </c>
      <c r="AE192" s="232">
        <f t="shared" si="68"/>
        <v>0</v>
      </c>
      <c r="AF192" s="232">
        <f t="shared" si="68"/>
        <v>0</v>
      </c>
      <c r="AG192" s="232">
        <f t="shared" si="68"/>
        <v>0</v>
      </c>
      <c r="AH192" s="232">
        <f t="shared" si="68"/>
        <v>0</v>
      </c>
      <c r="AI192" s="232">
        <f t="shared" si="68"/>
        <v>0</v>
      </c>
      <c r="AJ192" s="232">
        <f t="shared" si="68"/>
        <v>0</v>
      </c>
      <c r="AK192" s="232">
        <f t="shared" si="68"/>
        <v>0</v>
      </c>
      <c r="AL192" s="233">
        <f t="shared" si="68"/>
        <v>0</v>
      </c>
      <c r="AM192" s="207"/>
    </row>
    <row r="193" spans="5:8" ht="14.25" hidden="1">
      <c r="E193" s="234"/>
      <c r="F193" s="234"/>
      <c r="G193" s="234"/>
      <c r="H193" s="234"/>
    </row>
    <row r="194" spans="4:8" ht="15.75" hidden="1">
      <c r="D194" s="235" t="s">
        <v>465</v>
      </c>
      <c r="E194" s="236"/>
      <c r="F194" s="236"/>
      <c r="G194" s="236"/>
      <c r="H194" s="236"/>
    </row>
    <row r="195" spans="4:8" ht="14.25" hidden="1" outlineLevel="1">
      <c r="D195" s="237" t="s">
        <v>466</v>
      </c>
      <c r="E195" s="238"/>
      <c r="F195" s="238"/>
      <c r="G195" s="238"/>
      <c r="H195" s="238"/>
    </row>
    <row r="196" spans="4:38" ht="14.25" hidden="1" outlineLevel="2">
      <c r="D196" s="239">
        <v>0</v>
      </c>
      <c r="E196" s="240" t="str">
        <f>+"różnica mniejsza od "&amp;TEXT(D196*100,"0,0")&amp;"%"</f>
        <v>różnica mniejsza od 0,0%</v>
      </c>
      <c r="F196" s="241"/>
      <c r="G196" s="241"/>
      <c r="H196" s="241"/>
      <c r="I196" s="31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</row>
    <row r="197" spans="4:38" ht="14.25" hidden="1" outlineLevel="2">
      <c r="D197" s="243">
        <v>0.005</v>
      </c>
      <c r="E197" s="240" t="str">
        <f>+"różnica mniejsza od "&amp;TEXT(D197*100,"0,0")&amp;"%"</f>
        <v>różnica mniejsza od 0,5%</v>
      </c>
      <c r="F197" s="241"/>
      <c r="G197" s="241"/>
      <c r="H197" s="241"/>
      <c r="I197" s="31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</row>
    <row r="198" spans="4:38" ht="14.25" hidden="1" outlineLevel="2">
      <c r="D198" s="244">
        <v>0.01</v>
      </c>
      <c r="E198" s="240" t="str">
        <f>+"różnica mniejsza od "&amp;TEXT(D198*100,"0,0")&amp;"%"</f>
        <v>różnica mniejsza od 1,0%</v>
      </c>
      <c r="F198" s="241"/>
      <c r="G198" s="241"/>
      <c r="H198" s="241"/>
      <c r="I198" s="31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</row>
    <row r="199" spans="4:38" ht="14.25" hidden="1" outlineLevel="2">
      <c r="D199" s="245" t="s">
        <v>467</v>
      </c>
      <c r="E199" s="246" t="s">
        <v>71</v>
      </c>
      <c r="F199" s="247" t="s">
        <v>71</v>
      </c>
      <c r="G199" s="247" t="s">
        <v>71</v>
      </c>
      <c r="H199" s="248" t="s">
        <v>71</v>
      </c>
      <c r="I199" s="249">
        <f aca="true" t="shared" si="69" ref="I199:AL199">+IF(I9=0,"",I58-I53)</f>
        <v>0.0030999999999999917</v>
      </c>
      <c r="J199" s="250">
        <f t="shared" si="69"/>
        <v>0.0642</v>
      </c>
      <c r="K199" s="250">
        <f t="shared" si="69"/>
        <v>0.1066</v>
      </c>
      <c r="L199" s="250">
        <f t="shared" si="69"/>
        <v>0.14300000000000002</v>
      </c>
      <c r="M199" s="250">
        <f t="shared" si="69"/>
        <v>0.14689999999999998</v>
      </c>
      <c r="N199" s="250">
        <f t="shared" si="69"/>
        <v>0.1554</v>
      </c>
      <c r="O199" s="250">
        <f t="shared" si="69"/>
        <v>0.2053</v>
      </c>
      <c r="P199" s="250">
        <f t="shared" si="69"/>
        <v>0.2417</v>
      </c>
      <c r="Q199" s="250">
        <f t="shared" si="69"/>
        <v>0.2512</v>
      </c>
      <c r="R199" s="250">
        <f t="shared" si="69"/>
      </c>
      <c r="S199" s="250">
        <f t="shared" si="69"/>
      </c>
      <c r="T199" s="250">
        <f t="shared" si="69"/>
      </c>
      <c r="U199" s="250">
        <f t="shared" si="69"/>
      </c>
      <c r="V199" s="250">
        <f t="shared" si="69"/>
      </c>
      <c r="W199" s="250">
        <f t="shared" si="69"/>
      </c>
      <c r="X199" s="250">
        <f t="shared" si="69"/>
      </c>
      <c r="Y199" s="250">
        <f t="shared" si="69"/>
      </c>
      <c r="Z199" s="250">
        <f t="shared" si="69"/>
      </c>
      <c r="AA199" s="250">
        <f t="shared" si="69"/>
      </c>
      <c r="AB199" s="250">
        <f t="shared" si="69"/>
      </c>
      <c r="AC199" s="250">
        <f t="shared" si="69"/>
      </c>
      <c r="AD199" s="250">
        <f t="shared" si="69"/>
      </c>
      <c r="AE199" s="250">
        <f t="shared" si="69"/>
      </c>
      <c r="AF199" s="250">
        <f t="shared" si="69"/>
      </c>
      <c r="AG199" s="250">
        <f t="shared" si="69"/>
      </c>
      <c r="AH199" s="250">
        <f t="shared" si="69"/>
      </c>
      <c r="AI199" s="250">
        <f t="shared" si="69"/>
      </c>
      <c r="AJ199" s="250">
        <f t="shared" si="69"/>
      </c>
      <c r="AK199" s="250">
        <f t="shared" si="69"/>
      </c>
      <c r="AL199" s="251">
        <f t="shared" si="69"/>
      </c>
    </row>
    <row r="200" spans="4:38" ht="14.25" hidden="1" outlineLevel="2">
      <c r="D200" s="252" t="s">
        <v>468</v>
      </c>
      <c r="E200" s="253" t="s">
        <v>71</v>
      </c>
      <c r="F200" s="254" t="s">
        <v>71</v>
      </c>
      <c r="G200" s="254" t="s">
        <v>71</v>
      </c>
      <c r="H200" s="255" t="s">
        <v>71</v>
      </c>
      <c r="I200" s="256">
        <f aca="true" t="shared" si="70" ref="I200:AL200">+IF(I9=0,"",I58-I54)</f>
        <v>0.030799999999999994</v>
      </c>
      <c r="J200" s="257">
        <f t="shared" si="70"/>
        <v>0.0642</v>
      </c>
      <c r="K200" s="257">
        <f t="shared" si="70"/>
        <v>0.1066</v>
      </c>
      <c r="L200" s="257">
        <f t="shared" si="70"/>
        <v>0.14300000000000002</v>
      </c>
      <c r="M200" s="257">
        <f t="shared" si="70"/>
        <v>0.14689999999999998</v>
      </c>
      <c r="N200" s="257">
        <f t="shared" si="70"/>
        <v>0.1554</v>
      </c>
      <c r="O200" s="257">
        <f t="shared" si="70"/>
        <v>0.2053</v>
      </c>
      <c r="P200" s="257">
        <f t="shared" si="70"/>
        <v>0.2417</v>
      </c>
      <c r="Q200" s="257">
        <f t="shared" si="70"/>
        <v>0.2512</v>
      </c>
      <c r="R200" s="257">
        <f t="shared" si="70"/>
      </c>
      <c r="S200" s="257">
        <f t="shared" si="70"/>
      </c>
      <c r="T200" s="257">
        <f t="shared" si="70"/>
      </c>
      <c r="U200" s="257">
        <f t="shared" si="70"/>
      </c>
      <c r="V200" s="257">
        <f t="shared" si="70"/>
      </c>
      <c r="W200" s="257">
        <f t="shared" si="70"/>
      </c>
      <c r="X200" s="257">
        <f t="shared" si="70"/>
      </c>
      <c r="Y200" s="257">
        <f t="shared" si="70"/>
      </c>
      <c r="Z200" s="257">
        <f t="shared" si="70"/>
      </c>
      <c r="AA200" s="257">
        <f t="shared" si="70"/>
      </c>
      <c r="AB200" s="257">
        <f t="shared" si="70"/>
      </c>
      <c r="AC200" s="257">
        <f t="shared" si="70"/>
      </c>
      <c r="AD200" s="257">
        <f t="shared" si="70"/>
      </c>
      <c r="AE200" s="257">
        <f t="shared" si="70"/>
      </c>
      <c r="AF200" s="257">
        <f t="shared" si="70"/>
      </c>
      <c r="AG200" s="257">
        <f t="shared" si="70"/>
      </c>
      <c r="AH200" s="257">
        <f t="shared" si="70"/>
      </c>
      <c r="AI200" s="257">
        <f t="shared" si="70"/>
      </c>
      <c r="AJ200" s="257">
        <f t="shared" si="70"/>
      </c>
      <c r="AK200" s="257">
        <f t="shared" si="70"/>
      </c>
      <c r="AL200" s="258">
        <f t="shared" si="70"/>
      </c>
    </row>
    <row r="201" spans="4:38" ht="14.25" hidden="1" outlineLevel="2">
      <c r="D201" s="245" t="s">
        <v>469</v>
      </c>
      <c r="E201" s="246" t="s">
        <v>71</v>
      </c>
      <c r="F201" s="247" t="s">
        <v>71</v>
      </c>
      <c r="G201" s="247" t="s">
        <v>71</v>
      </c>
      <c r="H201" s="248" t="s">
        <v>71</v>
      </c>
      <c r="I201" s="249">
        <f aca="true" t="shared" si="71" ref="I201:AL201">+IF(I9=0,"",I59-I53)</f>
        <v>-0.008500000000000008</v>
      </c>
      <c r="J201" s="250">
        <f t="shared" si="71"/>
        <v>0.052599999999999994</v>
      </c>
      <c r="K201" s="250">
        <f t="shared" si="71"/>
        <v>0.09509999999999999</v>
      </c>
      <c r="L201" s="250">
        <f t="shared" si="71"/>
        <v>0.14300000000000002</v>
      </c>
      <c r="M201" s="250">
        <f t="shared" si="71"/>
        <v>0.14689999999999998</v>
      </c>
      <c r="N201" s="250">
        <f t="shared" si="71"/>
        <v>0.1554</v>
      </c>
      <c r="O201" s="250">
        <f t="shared" si="71"/>
        <v>0.2053</v>
      </c>
      <c r="P201" s="250">
        <f t="shared" si="71"/>
        <v>0.2417</v>
      </c>
      <c r="Q201" s="250">
        <f t="shared" si="71"/>
        <v>0.2512</v>
      </c>
      <c r="R201" s="250">
        <f t="shared" si="71"/>
      </c>
      <c r="S201" s="250">
        <f t="shared" si="71"/>
      </c>
      <c r="T201" s="250">
        <f t="shared" si="71"/>
      </c>
      <c r="U201" s="250">
        <f t="shared" si="71"/>
      </c>
      <c r="V201" s="250">
        <f t="shared" si="71"/>
      </c>
      <c r="W201" s="250">
        <f t="shared" si="71"/>
      </c>
      <c r="X201" s="250">
        <f t="shared" si="71"/>
      </c>
      <c r="Y201" s="250">
        <f t="shared" si="71"/>
      </c>
      <c r="Z201" s="250">
        <f t="shared" si="71"/>
      </c>
      <c r="AA201" s="250">
        <f t="shared" si="71"/>
      </c>
      <c r="AB201" s="250">
        <f t="shared" si="71"/>
      </c>
      <c r="AC201" s="250">
        <f t="shared" si="71"/>
      </c>
      <c r="AD201" s="250">
        <f t="shared" si="71"/>
      </c>
      <c r="AE201" s="250">
        <f t="shared" si="71"/>
      </c>
      <c r="AF201" s="250">
        <f t="shared" si="71"/>
      </c>
      <c r="AG201" s="250">
        <f t="shared" si="71"/>
      </c>
      <c r="AH201" s="250">
        <f t="shared" si="71"/>
      </c>
      <c r="AI201" s="250">
        <f t="shared" si="71"/>
      </c>
      <c r="AJ201" s="250">
        <f t="shared" si="71"/>
      </c>
      <c r="AK201" s="250">
        <f t="shared" si="71"/>
      </c>
      <c r="AL201" s="251">
        <f t="shared" si="71"/>
      </c>
    </row>
    <row r="202" spans="4:38" ht="14.25" hidden="1" outlineLevel="2">
      <c r="D202" s="252" t="s">
        <v>470</v>
      </c>
      <c r="E202" s="253" t="s">
        <v>71</v>
      </c>
      <c r="F202" s="254" t="s">
        <v>71</v>
      </c>
      <c r="G202" s="254" t="s">
        <v>71</v>
      </c>
      <c r="H202" s="255" t="s">
        <v>71</v>
      </c>
      <c r="I202" s="256">
        <f aca="true" t="shared" si="72" ref="I202:AL202">+IF(I9=0,"",I59-I54)</f>
        <v>0.019199999999999995</v>
      </c>
      <c r="J202" s="257">
        <f t="shared" si="72"/>
        <v>0.052599999999999994</v>
      </c>
      <c r="K202" s="257">
        <f t="shared" si="72"/>
        <v>0.09509999999999999</v>
      </c>
      <c r="L202" s="257">
        <f t="shared" si="72"/>
        <v>0.14300000000000002</v>
      </c>
      <c r="M202" s="257">
        <f t="shared" si="72"/>
        <v>0.14689999999999998</v>
      </c>
      <c r="N202" s="257">
        <f t="shared" si="72"/>
        <v>0.1554</v>
      </c>
      <c r="O202" s="257">
        <f t="shared" si="72"/>
        <v>0.2053</v>
      </c>
      <c r="P202" s="257">
        <f t="shared" si="72"/>
        <v>0.2417</v>
      </c>
      <c r="Q202" s="257">
        <f t="shared" si="72"/>
        <v>0.2512</v>
      </c>
      <c r="R202" s="257">
        <f t="shared" si="72"/>
      </c>
      <c r="S202" s="257">
        <f t="shared" si="72"/>
      </c>
      <c r="T202" s="257">
        <f t="shared" si="72"/>
      </c>
      <c r="U202" s="257">
        <f t="shared" si="72"/>
      </c>
      <c r="V202" s="257">
        <f t="shared" si="72"/>
      </c>
      <c r="W202" s="257">
        <f t="shared" si="72"/>
      </c>
      <c r="X202" s="257">
        <f t="shared" si="72"/>
      </c>
      <c r="Y202" s="257">
        <f t="shared" si="72"/>
      </c>
      <c r="Z202" s="257">
        <f t="shared" si="72"/>
      </c>
      <c r="AA202" s="257">
        <f t="shared" si="72"/>
      </c>
      <c r="AB202" s="257">
        <f t="shared" si="72"/>
      </c>
      <c r="AC202" s="257">
        <f t="shared" si="72"/>
      </c>
      <c r="AD202" s="257">
        <f t="shared" si="72"/>
      </c>
      <c r="AE202" s="257">
        <f t="shared" si="72"/>
      </c>
      <c r="AF202" s="257">
        <f t="shared" si="72"/>
      </c>
      <c r="AG202" s="257">
        <f t="shared" si="72"/>
      </c>
      <c r="AH202" s="257">
        <f t="shared" si="72"/>
      </c>
      <c r="AI202" s="257">
        <f t="shared" si="72"/>
      </c>
      <c r="AJ202" s="257">
        <f t="shared" si="72"/>
      </c>
      <c r="AK202" s="257">
        <f t="shared" si="72"/>
      </c>
      <c r="AL202" s="258">
        <f t="shared" si="72"/>
      </c>
    </row>
  </sheetData>
  <sheetProtection formatCells="0" formatColumns="0" formatRows="0" insertColumns="0" deleteColumns="0"/>
  <autoFilter ref="A8:A109"/>
  <mergeCells count="3">
    <mergeCell ref="E7:H7"/>
    <mergeCell ref="B6:Q6"/>
    <mergeCell ref="L2:Q2"/>
  </mergeCells>
  <conditionalFormatting sqref="I60:AL61">
    <cfRule type="expression" priority="15" dxfId="15" stopIfTrue="1">
      <formula>LEFT(I60,3)="Nie"</formula>
    </cfRule>
  </conditionalFormatting>
  <conditionalFormatting sqref="I132:AL132">
    <cfRule type="cellIs" priority="14" dxfId="16" operator="between" stopIfTrue="1">
      <formula>0</formula>
      <formula>1000000000000</formula>
    </cfRule>
  </conditionalFormatting>
  <conditionalFormatting sqref="I133:AL135">
    <cfRule type="cellIs" priority="13" dxfId="16" operator="between" stopIfTrue="1">
      <formula>-1000000000000</formula>
      <formula>1000000000000</formula>
    </cfRule>
  </conditionalFormatting>
  <conditionalFormatting sqref="I130:AL131">
    <cfRule type="cellIs" priority="12" dxfId="17" operator="between" stopIfTrue="1">
      <formula>-1000000000000</formula>
      <formula>1000000000000</formula>
    </cfRule>
  </conditionalFormatting>
  <conditionalFormatting sqref="I136:AL144 I146:AL153 I158:AL160 I166:AL185 I162:AL164">
    <cfRule type="cellIs" priority="11" dxfId="0" operator="equal" stopIfTrue="1">
      <formula>"BŁĄD"</formula>
    </cfRule>
  </conditionalFormatting>
  <conditionalFormatting sqref="I199:AL202">
    <cfRule type="cellIs" priority="8" dxfId="18" operator="lessThan" stopIfTrue="1">
      <formula>$D$196</formula>
    </cfRule>
    <cfRule type="cellIs" priority="9" dxfId="8" operator="lessThan" stopIfTrue="1">
      <formula>$D$197</formula>
    </cfRule>
    <cfRule type="cellIs" priority="10" dxfId="7" operator="lessThan" stopIfTrue="1">
      <formula>$D$198</formula>
    </cfRule>
  </conditionalFormatting>
  <conditionalFormatting sqref="I145:AL145">
    <cfRule type="cellIs" priority="7" dxfId="0" operator="equal" stopIfTrue="1">
      <formula>"BŁĄD"</formula>
    </cfRule>
  </conditionalFormatting>
  <conditionalFormatting sqref="I154:AL154">
    <cfRule type="cellIs" priority="6" dxfId="0" operator="equal" stopIfTrue="1">
      <formula>"BŁĄD"</formula>
    </cfRule>
  </conditionalFormatting>
  <conditionalFormatting sqref="I155:AL155">
    <cfRule type="cellIs" priority="5" dxfId="0" operator="equal" stopIfTrue="1">
      <formula>"BŁĄD"</formula>
    </cfRule>
  </conditionalFormatting>
  <conditionalFormatting sqref="I156:AL156">
    <cfRule type="cellIs" priority="4" dxfId="0" operator="equal" stopIfTrue="1">
      <formula>"BŁĄD"</formula>
    </cfRule>
  </conditionalFormatting>
  <conditionalFormatting sqref="I157:AL157">
    <cfRule type="cellIs" priority="3" dxfId="0" operator="equal" stopIfTrue="1">
      <formula>"BŁĄD"</formula>
    </cfRule>
  </conditionalFormatting>
  <conditionalFormatting sqref="I165:AL165">
    <cfRule type="cellIs" priority="2" dxfId="0" operator="equal" stopIfTrue="1">
      <formula>"BŁĄD"</formula>
    </cfRule>
  </conditionalFormatting>
  <conditionalFormatting sqref="I161:AL161">
    <cfRule type="cellIs" priority="1" dxfId="0" operator="equal" stopIfTrue="1">
      <formula>"BŁĄD"</formula>
    </cfRule>
  </conditionalFormatting>
  <printOptions/>
  <pageMargins left="0.17" right="0.17" top="0.4724409448818898" bottom="0.4724409448818898" header="0.31496062992125984" footer="0.31496062992125984"/>
  <pageSetup blackAndWhite="1" orientation="landscape" paperSize="9" scale="7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6" min="1" max="16" man="1"/>
    <brk id="72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zoomScaleSheetLayoutView="61" zoomScalePageLayoutView="0" workbookViewId="0" topLeftCell="A1">
      <pane ySplit="6" topLeftCell="A44" activePane="bottomLeft" state="frozen"/>
      <selection pane="topLeft" activeCell="A1" sqref="A1"/>
      <selection pane="bottomLeft" activeCell="A3" sqref="A3:P3"/>
    </sheetView>
  </sheetViews>
  <sheetFormatPr defaultColWidth="9.140625" defaultRowHeight="15"/>
  <cols>
    <col min="1" max="1" width="6.7109375" style="1" customWidth="1"/>
    <col min="2" max="2" width="26.8515625" style="1" customWidth="1"/>
    <col min="3" max="3" width="15.140625" style="1" customWidth="1"/>
    <col min="4" max="4" width="5.57421875" style="1" customWidth="1"/>
    <col min="5" max="5" width="6.140625" style="1" customWidth="1"/>
    <col min="6" max="6" width="14.140625" style="1" customWidth="1"/>
    <col min="7" max="7" width="13.28125" style="1" customWidth="1"/>
    <col min="8" max="8" width="13.421875" style="1" customWidth="1"/>
    <col min="9" max="9" width="12.8515625" style="1" customWidth="1"/>
    <col min="10" max="10" width="14.421875" style="1" customWidth="1"/>
    <col min="11" max="12" width="13.140625" style="1" customWidth="1"/>
    <col min="13" max="14" width="13.57421875" style="1" customWidth="1"/>
    <col min="15" max="15" width="13.00390625" style="1" customWidth="1"/>
    <col min="16" max="16" width="15.00390625" style="1" customWidth="1"/>
    <col min="17" max="17" width="12.57421875" style="1" bestFit="1" customWidth="1"/>
    <col min="18" max="16384" width="9.140625" style="1" customWidth="1"/>
  </cols>
  <sheetData>
    <row r="1" spans="8:16" ht="22.5" customHeight="1">
      <c r="H1" s="403" t="s">
        <v>480</v>
      </c>
      <c r="I1" s="403"/>
      <c r="J1" s="403"/>
      <c r="K1" s="403"/>
      <c r="L1" s="403"/>
      <c r="M1" s="403"/>
      <c r="N1" s="403"/>
      <c r="O1" s="403"/>
      <c r="P1" s="403"/>
    </row>
    <row r="2" spans="8:16" ht="22.5" customHeight="1">
      <c r="H2" s="23"/>
      <c r="I2" s="23"/>
      <c r="J2" s="23"/>
      <c r="K2" s="23"/>
      <c r="L2" s="23"/>
      <c r="M2" s="23"/>
      <c r="N2" s="23"/>
      <c r="O2" s="23"/>
      <c r="P2" s="23"/>
    </row>
    <row r="3" spans="1:18" s="2" customFormat="1" ht="51" customHeight="1" thickBot="1">
      <c r="A3" s="404" t="s">
        <v>477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R3" s="1"/>
    </row>
    <row r="4" spans="1:16" s="6" customFormat="1" ht="0.75" customHeight="1" hidden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5"/>
      <c r="N4" s="5"/>
      <c r="O4" s="5"/>
      <c r="P4" s="5" t="s">
        <v>8</v>
      </c>
    </row>
    <row r="5" spans="1:16" s="7" customFormat="1" ht="64.5" customHeight="1">
      <c r="A5" s="405" t="s">
        <v>1</v>
      </c>
      <c r="B5" s="407" t="s">
        <v>9</v>
      </c>
      <c r="C5" s="409" t="s">
        <v>10</v>
      </c>
      <c r="D5" s="411" t="s">
        <v>11</v>
      </c>
      <c r="E5" s="411"/>
      <c r="F5" s="409" t="s">
        <v>12</v>
      </c>
      <c r="G5" s="411"/>
      <c r="H5" s="411"/>
      <c r="I5" s="411"/>
      <c r="J5" s="411"/>
      <c r="K5" s="411"/>
      <c r="L5" s="411"/>
      <c r="M5" s="411"/>
      <c r="N5" s="411"/>
      <c r="O5" s="411"/>
      <c r="P5" s="415" t="s">
        <v>13</v>
      </c>
    </row>
    <row r="6" spans="1:16" s="7" customFormat="1" ht="51" customHeight="1" thickBot="1">
      <c r="A6" s="406"/>
      <c r="B6" s="408"/>
      <c r="C6" s="410"/>
      <c r="D6" s="259" t="s">
        <v>14</v>
      </c>
      <c r="E6" s="259" t="s">
        <v>15</v>
      </c>
      <c r="F6" s="410"/>
      <c r="G6" s="260" t="s">
        <v>16</v>
      </c>
      <c r="H6" s="260" t="s">
        <v>17</v>
      </c>
      <c r="I6" s="260" t="s">
        <v>18</v>
      </c>
      <c r="J6" s="260" t="s">
        <v>19</v>
      </c>
      <c r="K6" s="260" t="s">
        <v>20</v>
      </c>
      <c r="L6" s="260" t="s">
        <v>21</v>
      </c>
      <c r="M6" s="260" t="s">
        <v>22</v>
      </c>
      <c r="N6" s="261" t="s">
        <v>23</v>
      </c>
      <c r="O6" s="261" t="s">
        <v>24</v>
      </c>
      <c r="P6" s="416"/>
    </row>
    <row r="7" spans="1:16" s="8" customFormat="1" ht="13.5" customHeight="1">
      <c r="A7" s="262">
        <v>1</v>
      </c>
      <c r="B7" s="263">
        <v>2</v>
      </c>
      <c r="C7" s="263">
        <v>3</v>
      </c>
      <c r="D7" s="264">
        <v>4</v>
      </c>
      <c r="E7" s="263">
        <v>5</v>
      </c>
      <c r="F7" s="264">
        <v>6</v>
      </c>
      <c r="G7" s="264">
        <v>9</v>
      </c>
      <c r="H7" s="264">
        <v>10</v>
      </c>
      <c r="I7" s="264">
        <v>11</v>
      </c>
      <c r="J7" s="264">
        <v>12</v>
      </c>
      <c r="K7" s="264">
        <v>13</v>
      </c>
      <c r="L7" s="264">
        <v>14</v>
      </c>
      <c r="M7" s="264">
        <v>15</v>
      </c>
      <c r="N7" s="264">
        <v>16</v>
      </c>
      <c r="O7" s="264">
        <v>17</v>
      </c>
      <c r="P7" s="265">
        <v>20</v>
      </c>
    </row>
    <row r="8" spans="1:16" s="9" customFormat="1" ht="14.25">
      <c r="A8" s="266" t="s">
        <v>25</v>
      </c>
      <c r="B8" s="417" t="s">
        <v>26</v>
      </c>
      <c r="C8" s="418"/>
      <c r="D8" s="418"/>
      <c r="E8" s="418"/>
      <c r="F8" s="267">
        <f aca="true" t="shared" si="0" ref="F8:P8">F11++F19+F31</f>
        <v>23555670</v>
      </c>
      <c r="G8" s="267">
        <f t="shared" si="0"/>
        <v>3642075.1</v>
      </c>
      <c r="H8" s="267">
        <f t="shared" si="0"/>
        <v>1185187</v>
      </c>
      <c r="I8" s="267">
        <f t="shared" si="0"/>
        <v>1280481</v>
      </c>
      <c r="J8" s="267">
        <f t="shared" si="0"/>
        <v>1617020</v>
      </c>
      <c r="K8" s="267">
        <f t="shared" si="0"/>
        <v>1450000</v>
      </c>
      <c r="L8" s="267">
        <f t="shared" si="0"/>
        <v>1690000</v>
      </c>
      <c r="M8" s="267">
        <f t="shared" si="0"/>
        <v>1640000</v>
      </c>
      <c r="N8" s="267">
        <f t="shared" si="0"/>
        <v>1440000</v>
      </c>
      <c r="O8" s="267">
        <f t="shared" si="0"/>
        <v>1540000</v>
      </c>
      <c r="P8" s="268">
        <f t="shared" si="0"/>
        <v>15484763.1</v>
      </c>
    </row>
    <row r="9" spans="1:16" s="9" customFormat="1" ht="14.25">
      <c r="A9" s="269" t="s">
        <v>27</v>
      </c>
      <c r="B9" s="419" t="s">
        <v>28</v>
      </c>
      <c r="C9" s="420"/>
      <c r="D9" s="420"/>
      <c r="E9" s="420"/>
      <c r="F9" s="270">
        <f aca="true" t="shared" si="1" ref="F9:P9">F12+F20+F32</f>
        <v>3309080</v>
      </c>
      <c r="G9" s="270">
        <f t="shared" si="1"/>
        <v>310000</v>
      </c>
      <c r="H9" s="270">
        <f t="shared" si="1"/>
        <v>60000</v>
      </c>
      <c r="I9" s="270">
        <f t="shared" si="1"/>
        <v>60000</v>
      </c>
      <c r="J9" s="270">
        <f t="shared" si="1"/>
        <v>60000</v>
      </c>
      <c r="K9" s="270">
        <f t="shared" si="1"/>
        <v>60000</v>
      </c>
      <c r="L9" s="270">
        <f t="shared" si="1"/>
        <v>0</v>
      </c>
      <c r="M9" s="270">
        <f t="shared" si="1"/>
        <v>0</v>
      </c>
      <c r="N9" s="270">
        <f t="shared" si="1"/>
        <v>0</v>
      </c>
      <c r="O9" s="270">
        <f t="shared" si="1"/>
        <v>0</v>
      </c>
      <c r="P9" s="271">
        <f t="shared" si="1"/>
        <v>550000</v>
      </c>
    </row>
    <row r="10" spans="1:16" s="9" customFormat="1" ht="15" thickBot="1">
      <c r="A10" s="272" t="s">
        <v>29</v>
      </c>
      <c r="B10" s="421" t="s">
        <v>30</v>
      </c>
      <c r="C10" s="422"/>
      <c r="D10" s="422"/>
      <c r="E10" s="422"/>
      <c r="F10" s="273">
        <f aca="true" t="shared" si="2" ref="F10:P10">F15+F21+F33</f>
        <v>20246590</v>
      </c>
      <c r="G10" s="273">
        <f t="shared" si="2"/>
        <v>3332075.1</v>
      </c>
      <c r="H10" s="273">
        <f t="shared" si="2"/>
        <v>1125187</v>
      </c>
      <c r="I10" s="273">
        <f t="shared" si="2"/>
        <v>1220481</v>
      </c>
      <c r="J10" s="273">
        <f t="shared" si="2"/>
        <v>1557020</v>
      </c>
      <c r="K10" s="273">
        <f t="shared" si="2"/>
        <v>1390000</v>
      </c>
      <c r="L10" s="273">
        <f t="shared" si="2"/>
        <v>1690000</v>
      </c>
      <c r="M10" s="273">
        <f t="shared" si="2"/>
        <v>1640000</v>
      </c>
      <c r="N10" s="273">
        <f t="shared" si="2"/>
        <v>1440000</v>
      </c>
      <c r="O10" s="273">
        <f t="shared" si="2"/>
        <v>1540000</v>
      </c>
      <c r="P10" s="274">
        <f t="shared" si="2"/>
        <v>14934763.1</v>
      </c>
    </row>
    <row r="11" spans="1:16" s="13" customFormat="1" ht="66.75" customHeight="1" thickBot="1">
      <c r="A11" s="275" t="s">
        <v>2</v>
      </c>
      <c r="B11" s="423" t="s">
        <v>31</v>
      </c>
      <c r="C11" s="424"/>
      <c r="D11" s="424"/>
      <c r="E11" s="425"/>
      <c r="F11" s="276">
        <f aca="true" t="shared" si="3" ref="F11:P11">F12+F15</f>
        <v>4732452</v>
      </c>
      <c r="G11" s="276">
        <f t="shared" si="3"/>
        <v>1344417</v>
      </c>
      <c r="H11" s="276">
        <f t="shared" si="3"/>
        <v>60000</v>
      </c>
      <c r="I11" s="276">
        <f t="shared" si="3"/>
        <v>110000</v>
      </c>
      <c r="J11" s="276">
        <f t="shared" si="3"/>
        <v>360000</v>
      </c>
      <c r="K11" s="276">
        <f t="shared" si="3"/>
        <v>60000</v>
      </c>
      <c r="L11" s="276">
        <f t="shared" si="3"/>
        <v>0</v>
      </c>
      <c r="M11" s="276">
        <f t="shared" si="3"/>
        <v>0</v>
      </c>
      <c r="N11" s="276">
        <f t="shared" si="3"/>
        <v>0</v>
      </c>
      <c r="O11" s="276">
        <f t="shared" si="3"/>
        <v>0</v>
      </c>
      <c r="P11" s="277">
        <f t="shared" si="3"/>
        <v>1934417</v>
      </c>
    </row>
    <row r="12" spans="1:16" s="13" customFormat="1" ht="15" thickBot="1">
      <c r="A12" s="278" t="s">
        <v>3</v>
      </c>
      <c r="B12" s="400" t="s">
        <v>28</v>
      </c>
      <c r="C12" s="401"/>
      <c r="D12" s="401"/>
      <c r="E12" s="402"/>
      <c r="F12" s="279">
        <f aca="true" t="shared" si="4" ref="F12:P12">SUM(F13:F14)</f>
        <v>3309080</v>
      </c>
      <c r="G12" s="279">
        <f t="shared" si="4"/>
        <v>310000</v>
      </c>
      <c r="H12" s="279">
        <f t="shared" si="4"/>
        <v>60000</v>
      </c>
      <c r="I12" s="279">
        <f t="shared" si="4"/>
        <v>60000</v>
      </c>
      <c r="J12" s="279">
        <f t="shared" si="4"/>
        <v>60000</v>
      </c>
      <c r="K12" s="279">
        <f t="shared" si="4"/>
        <v>60000</v>
      </c>
      <c r="L12" s="279">
        <f t="shared" si="4"/>
        <v>0</v>
      </c>
      <c r="M12" s="279">
        <f t="shared" si="4"/>
        <v>0</v>
      </c>
      <c r="N12" s="279">
        <f t="shared" si="4"/>
        <v>0</v>
      </c>
      <c r="O12" s="279">
        <f t="shared" si="4"/>
        <v>0</v>
      </c>
      <c r="P12" s="280">
        <f t="shared" si="4"/>
        <v>550000</v>
      </c>
    </row>
    <row r="13" spans="1:16" s="9" customFormat="1" ht="38.25">
      <c r="A13" s="281" t="s">
        <v>32</v>
      </c>
      <c r="B13" s="282" t="s">
        <v>33</v>
      </c>
      <c r="C13" s="283" t="s">
        <v>473</v>
      </c>
      <c r="D13" s="284">
        <v>2009</v>
      </c>
      <c r="E13" s="284">
        <v>2019</v>
      </c>
      <c r="F13" s="285">
        <v>1948011</v>
      </c>
      <c r="G13" s="286">
        <v>60000</v>
      </c>
      <c r="H13" s="286">
        <v>60000</v>
      </c>
      <c r="I13" s="286">
        <v>60000</v>
      </c>
      <c r="J13" s="286">
        <v>60000</v>
      </c>
      <c r="K13" s="286">
        <v>60000</v>
      </c>
      <c r="L13" s="287" t="s">
        <v>34</v>
      </c>
      <c r="M13" s="287" t="s">
        <v>34</v>
      </c>
      <c r="N13" s="287" t="s">
        <v>34</v>
      </c>
      <c r="O13" s="287" t="s">
        <v>34</v>
      </c>
      <c r="P13" s="288">
        <f>SUM(G13:O13)</f>
        <v>300000</v>
      </c>
    </row>
    <row r="14" spans="1:16" s="11" customFormat="1" ht="77.25" customHeight="1" thickBot="1">
      <c r="A14" s="289" t="s">
        <v>35</v>
      </c>
      <c r="B14" s="290" t="s">
        <v>36</v>
      </c>
      <c r="C14" s="291" t="s">
        <v>37</v>
      </c>
      <c r="D14" s="292">
        <v>2012</v>
      </c>
      <c r="E14" s="292">
        <v>2015</v>
      </c>
      <c r="F14" s="293">
        <v>1361069</v>
      </c>
      <c r="G14" s="294">
        <v>250000</v>
      </c>
      <c r="H14" s="295" t="s">
        <v>34</v>
      </c>
      <c r="I14" s="295" t="s">
        <v>34</v>
      </c>
      <c r="J14" s="295" t="s">
        <v>34</v>
      </c>
      <c r="K14" s="295" t="s">
        <v>34</v>
      </c>
      <c r="L14" s="295" t="s">
        <v>34</v>
      </c>
      <c r="M14" s="295" t="s">
        <v>34</v>
      </c>
      <c r="N14" s="295" t="s">
        <v>34</v>
      </c>
      <c r="O14" s="295" t="s">
        <v>34</v>
      </c>
      <c r="P14" s="288">
        <f>SUM(G14:O14)</f>
        <v>250000</v>
      </c>
    </row>
    <row r="15" spans="1:16" s="12" customFormat="1" ht="15" thickBot="1">
      <c r="A15" s="296" t="s">
        <v>4</v>
      </c>
      <c r="B15" s="412" t="s">
        <v>30</v>
      </c>
      <c r="C15" s="413"/>
      <c r="D15" s="413"/>
      <c r="E15" s="414"/>
      <c r="F15" s="276">
        <f aca="true" t="shared" si="5" ref="F15:P15">SUM(F16:F18)</f>
        <v>1423372</v>
      </c>
      <c r="G15" s="276">
        <f t="shared" si="5"/>
        <v>1034417</v>
      </c>
      <c r="H15" s="276">
        <f t="shared" si="5"/>
        <v>0</v>
      </c>
      <c r="I15" s="276">
        <f t="shared" si="5"/>
        <v>50000</v>
      </c>
      <c r="J15" s="276">
        <f t="shared" si="5"/>
        <v>300000</v>
      </c>
      <c r="K15" s="276">
        <f t="shared" si="5"/>
        <v>0</v>
      </c>
      <c r="L15" s="276">
        <f t="shared" si="5"/>
        <v>0</v>
      </c>
      <c r="M15" s="276">
        <f t="shared" si="5"/>
        <v>0</v>
      </c>
      <c r="N15" s="276">
        <f t="shared" si="5"/>
        <v>0</v>
      </c>
      <c r="O15" s="276">
        <f t="shared" si="5"/>
        <v>0</v>
      </c>
      <c r="P15" s="277">
        <f t="shared" si="5"/>
        <v>1384417</v>
      </c>
    </row>
    <row r="16" spans="1:16" s="11" customFormat="1" ht="78" customHeight="1" thickBot="1">
      <c r="A16" s="281" t="s">
        <v>38</v>
      </c>
      <c r="B16" s="297" t="s">
        <v>67</v>
      </c>
      <c r="C16" s="298" t="s">
        <v>472</v>
      </c>
      <c r="D16" s="299">
        <v>2014</v>
      </c>
      <c r="E16" s="299">
        <v>2015</v>
      </c>
      <c r="F16" s="300">
        <v>995765</v>
      </c>
      <c r="G16" s="301">
        <v>995765</v>
      </c>
      <c r="H16" s="302" t="s">
        <v>34</v>
      </c>
      <c r="I16" s="302" t="s">
        <v>34</v>
      </c>
      <c r="J16" s="302" t="s">
        <v>34</v>
      </c>
      <c r="K16" s="302" t="s">
        <v>34</v>
      </c>
      <c r="L16" s="302" t="s">
        <v>34</v>
      </c>
      <c r="M16" s="302" t="s">
        <v>34</v>
      </c>
      <c r="N16" s="302" t="s">
        <v>34</v>
      </c>
      <c r="O16" s="302" t="s">
        <v>34</v>
      </c>
      <c r="P16" s="288">
        <f>SUM(G16:O16)</f>
        <v>995765</v>
      </c>
    </row>
    <row r="17" spans="1:16" s="11" customFormat="1" ht="38.25" customHeight="1" thickBot="1">
      <c r="A17" s="281" t="s">
        <v>39</v>
      </c>
      <c r="B17" s="297" t="s">
        <v>471</v>
      </c>
      <c r="C17" s="298" t="s">
        <v>473</v>
      </c>
      <c r="D17" s="299">
        <v>2017</v>
      </c>
      <c r="E17" s="299">
        <v>2018</v>
      </c>
      <c r="F17" s="300">
        <v>350000</v>
      </c>
      <c r="G17" s="301" t="s">
        <v>66</v>
      </c>
      <c r="H17" s="301" t="s">
        <v>66</v>
      </c>
      <c r="I17" s="303">
        <v>50000</v>
      </c>
      <c r="J17" s="301">
        <v>300000</v>
      </c>
      <c r="K17" s="301">
        <v>0</v>
      </c>
      <c r="L17" s="302">
        <v>0</v>
      </c>
      <c r="M17" s="302">
        <v>0</v>
      </c>
      <c r="N17" s="301">
        <v>0</v>
      </c>
      <c r="O17" s="301">
        <v>0</v>
      </c>
      <c r="P17" s="288">
        <f>SUM(G17:O17)</f>
        <v>350000</v>
      </c>
    </row>
    <row r="18" spans="1:16" s="11" customFormat="1" ht="36.75" customHeight="1" thickBot="1">
      <c r="A18" s="281" t="s">
        <v>40</v>
      </c>
      <c r="B18" s="304" t="s">
        <v>41</v>
      </c>
      <c r="C18" s="305" t="s">
        <v>473</v>
      </c>
      <c r="D18" s="306">
        <v>2014</v>
      </c>
      <c r="E18" s="306">
        <v>2015</v>
      </c>
      <c r="F18" s="307">
        <v>77607</v>
      </c>
      <c r="G18" s="308">
        <v>38652</v>
      </c>
      <c r="H18" s="308">
        <v>0</v>
      </c>
      <c r="I18" s="308">
        <v>0</v>
      </c>
      <c r="J18" s="308">
        <v>0</v>
      </c>
      <c r="K18" s="308">
        <v>0</v>
      </c>
      <c r="L18" s="309">
        <v>0</v>
      </c>
      <c r="M18" s="309">
        <v>0</v>
      </c>
      <c r="N18" s="310">
        <v>0</v>
      </c>
      <c r="O18" s="309">
        <v>0</v>
      </c>
      <c r="P18" s="288">
        <f>SUM(G18:O18)</f>
        <v>38652</v>
      </c>
    </row>
    <row r="19" spans="1:16" s="13" customFormat="1" ht="33" customHeight="1" thickBot="1">
      <c r="A19" s="275" t="s">
        <v>5</v>
      </c>
      <c r="B19" s="384" t="s">
        <v>42</v>
      </c>
      <c r="C19" s="385"/>
      <c r="D19" s="385"/>
      <c r="E19" s="385"/>
      <c r="F19" s="276">
        <f aca="true" t="shared" si="6" ref="F19:O19">SUM(F20:F21)</f>
        <v>0</v>
      </c>
      <c r="G19" s="311">
        <f t="shared" si="6"/>
        <v>0</v>
      </c>
      <c r="H19" s="311">
        <f t="shared" si="6"/>
        <v>0</v>
      </c>
      <c r="I19" s="311">
        <f t="shared" si="6"/>
        <v>0</v>
      </c>
      <c r="J19" s="311">
        <f t="shared" si="6"/>
        <v>0</v>
      </c>
      <c r="K19" s="311">
        <f t="shared" si="6"/>
        <v>0</v>
      </c>
      <c r="L19" s="311">
        <f t="shared" si="6"/>
        <v>0</v>
      </c>
      <c r="M19" s="311">
        <f t="shared" si="6"/>
        <v>0</v>
      </c>
      <c r="N19" s="311">
        <f t="shared" si="6"/>
        <v>0</v>
      </c>
      <c r="O19" s="311">
        <f t="shared" si="6"/>
        <v>0</v>
      </c>
      <c r="P19" s="312">
        <v>0</v>
      </c>
    </row>
    <row r="20" spans="1:16" s="13" customFormat="1" ht="14.25">
      <c r="A20" s="313" t="s">
        <v>6</v>
      </c>
      <c r="B20" s="398" t="s">
        <v>28</v>
      </c>
      <c r="C20" s="399"/>
      <c r="D20" s="399"/>
      <c r="E20" s="399"/>
      <c r="F20" s="314">
        <v>0</v>
      </c>
      <c r="G20" s="314">
        <v>0</v>
      </c>
      <c r="H20" s="314">
        <v>0</v>
      </c>
      <c r="I20" s="314">
        <v>0</v>
      </c>
      <c r="J20" s="314">
        <v>0</v>
      </c>
      <c r="K20" s="314">
        <v>0</v>
      </c>
      <c r="L20" s="314">
        <v>0</v>
      </c>
      <c r="M20" s="314">
        <v>0</v>
      </c>
      <c r="N20" s="314">
        <v>0</v>
      </c>
      <c r="O20" s="314">
        <v>0</v>
      </c>
      <c r="P20" s="315">
        <v>0</v>
      </c>
    </row>
    <row r="21" spans="1:16" s="13" customFormat="1" ht="15" thickBot="1">
      <c r="A21" s="278" t="s">
        <v>7</v>
      </c>
      <c r="B21" s="400" t="s">
        <v>30</v>
      </c>
      <c r="C21" s="401"/>
      <c r="D21" s="401"/>
      <c r="E21" s="402"/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16">
        <v>0</v>
      </c>
      <c r="O21" s="316">
        <v>0</v>
      </c>
      <c r="P21" s="317">
        <v>0</v>
      </c>
    </row>
    <row r="22" spans="1:16" s="13" customFormat="1" ht="15" hidden="1" thickBot="1">
      <c r="A22" s="389"/>
      <c r="B22" s="318" t="s">
        <v>43</v>
      </c>
      <c r="C22" s="392"/>
      <c r="D22" s="395"/>
      <c r="E22" s="395"/>
      <c r="F22" s="319"/>
      <c r="G22" s="319"/>
      <c r="H22" s="319"/>
      <c r="I22" s="319"/>
      <c r="J22" s="319"/>
      <c r="K22" s="319"/>
      <c r="L22" s="319"/>
      <c r="M22" s="319"/>
      <c r="N22" s="314"/>
      <c r="O22" s="314"/>
      <c r="P22" s="386"/>
    </row>
    <row r="23" spans="1:16" s="13" customFormat="1" ht="15" hidden="1" thickBot="1">
      <c r="A23" s="389"/>
      <c r="B23" s="320" t="s">
        <v>28</v>
      </c>
      <c r="C23" s="392"/>
      <c r="D23" s="395"/>
      <c r="E23" s="395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86"/>
    </row>
    <row r="24" spans="1:16" s="13" customFormat="1" ht="15" hidden="1" thickBot="1">
      <c r="A24" s="390"/>
      <c r="B24" s="320" t="s">
        <v>30</v>
      </c>
      <c r="C24" s="393"/>
      <c r="D24" s="396"/>
      <c r="E24" s="396"/>
      <c r="F24" s="321"/>
      <c r="G24" s="321"/>
      <c r="H24" s="321"/>
      <c r="I24" s="321"/>
      <c r="J24" s="321"/>
      <c r="K24" s="321"/>
      <c r="L24" s="321"/>
      <c r="M24" s="321"/>
      <c r="N24" s="322"/>
      <c r="O24" s="322"/>
      <c r="P24" s="387"/>
    </row>
    <row r="25" spans="1:16" s="13" customFormat="1" ht="15" hidden="1" thickBot="1">
      <c r="A25" s="388"/>
      <c r="B25" s="323" t="s">
        <v>43</v>
      </c>
      <c r="C25" s="391"/>
      <c r="D25" s="394"/>
      <c r="E25" s="394"/>
      <c r="F25" s="324"/>
      <c r="G25" s="324"/>
      <c r="H25" s="324"/>
      <c r="I25" s="324"/>
      <c r="J25" s="324"/>
      <c r="K25" s="324"/>
      <c r="L25" s="324"/>
      <c r="M25" s="324"/>
      <c r="N25" s="325"/>
      <c r="O25" s="325"/>
      <c r="P25" s="397"/>
    </row>
    <row r="26" spans="1:16" s="13" customFormat="1" ht="15" hidden="1" thickBot="1">
      <c r="A26" s="389"/>
      <c r="B26" s="320" t="s">
        <v>28</v>
      </c>
      <c r="C26" s="392"/>
      <c r="D26" s="395"/>
      <c r="E26" s="395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86"/>
    </row>
    <row r="27" spans="1:16" s="13" customFormat="1" ht="15" hidden="1" thickBot="1">
      <c r="A27" s="390"/>
      <c r="B27" s="320" t="s">
        <v>30</v>
      </c>
      <c r="C27" s="393"/>
      <c r="D27" s="396"/>
      <c r="E27" s="396"/>
      <c r="F27" s="321"/>
      <c r="G27" s="321"/>
      <c r="H27" s="321"/>
      <c r="I27" s="321"/>
      <c r="J27" s="321"/>
      <c r="K27" s="321"/>
      <c r="L27" s="321"/>
      <c r="M27" s="321"/>
      <c r="N27" s="322"/>
      <c r="O27" s="322"/>
      <c r="P27" s="387"/>
    </row>
    <row r="28" spans="1:16" s="13" customFormat="1" ht="15" hidden="1" thickBot="1">
      <c r="A28" s="388"/>
      <c r="B28" s="323" t="s">
        <v>44</v>
      </c>
      <c r="C28" s="391"/>
      <c r="D28" s="394"/>
      <c r="E28" s="394"/>
      <c r="F28" s="324"/>
      <c r="G28" s="324"/>
      <c r="H28" s="324"/>
      <c r="I28" s="324"/>
      <c r="J28" s="324"/>
      <c r="K28" s="324"/>
      <c r="L28" s="324"/>
      <c r="M28" s="324"/>
      <c r="N28" s="325"/>
      <c r="O28" s="325"/>
      <c r="P28" s="397"/>
    </row>
    <row r="29" spans="1:16" s="13" customFormat="1" ht="15" hidden="1" thickBot="1">
      <c r="A29" s="389"/>
      <c r="B29" s="320"/>
      <c r="C29" s="392"/>
      <c r="D29" s="395"/>
      <c r="E29" s="395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86"/>
    </row>
    <row r="30" spans="1:16" s="13" customFormat="1" ht="15" hidden="1" thickBot="1">
      <c r="A30" s="389"/>
      <c r="B30" s="326"/>
      <c r="C30" s="392"/>
      <c r="D30" s="395"/>
      <c r="E30" s="395"/>
      <c r="F30" s="327"/>
      <c r="G30" s="327"/>
      <c r="H30" s="327"/>
      <c r="I30" s="327"/>
      <c r="J30" s="327"/>
      <c r="K30" s="327"/>
      <c r="L30" s="327"/>
      <c r="M30" s="327"/>
      <c r="N30" s="314"/>
      <c r="O30" s="314"/>
      <c r="P30" s="386"/>
    </row>
    <row r="31" spans="1:16" s="14" customFormat="1" ht="28.5" customHeight="1" thickBot="1">
      <c r="A31" s="275" t="s">
        <v>45</v>
      </c>
      <c r="B31" s="384" t="s">
        <v>46</v>
      </c>
      <c r="C31" s="385"/>
      <c r="D31" s="385"/>
      <c r="E31" s="385"/>
      <c r="F31" s="276">
        <f aca="true" t="shared" si="7" ref="F31:P31">F32+F33</f>
        <v>18823218</v>
      </c>
      <c r="G31" s="276">
        <f t="shared" si="7"/>
        <v>2297658.1</v>
      </c>
      <c r="H31" s="276">
        <f t="shared" si="7"/>
        <v>1125187</v>
      </c>
      <c r="I31" s="276">
        <f t="shared" si="7"/>
        <v>1170481</v>
      </c>
      <c r="J31" s="276">
        <f t="shared" si="7"/>
        <v>1257020</v>
      </c>
      <c r="K31" s="276">
        <f t="shared" si="7"/>
        <v>1390000</v>
      </c>
      <c r="L31" s="276">
        <f t="shared" si="7"/>
        <v>1690000</v>
      </c>
      <c r="M31" s="276">
        <f t="shared" si="7"/>
        <v>1640000</v>
      </c>
      <c r="N31" s="276">
        <f t="shared" si="7"/>
        <v>1440000</v>
      </c>
      <c r="O31" s="276">
        <f t="shared" si="7"/>
        <v>1540000</v>
      </c>
      <c r="P31" s="277">
        <f t="shared" si="7"/>
        <v>13550346.1</v>
      </c>
    </row>
    <row r="32" spans="1:17" s="16" customFormat="1" ht="15" thickBot="1">
      <c r="A32" s="328" t="s">
        <v>47</v>
      </c>
      <c r="B32" s="375" t="s">
        <v>28</v>
      </c>
      <c r="C32" s="376"/>
      <c r="D32" s="376"/>
      <c r="E32" s="376"/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  <c r="O32" s="330">
        <v>0</v>
      </c>
      <c r="P32" s="331">
        <v>0</v>
      </c>
      <c r="Q32" s="15"/>
    </row>
    <row r="33" spans="1:16" s="16" customFormat="1" ht="15" thickBot="1">
      <c r="A33" s="332" t="s">
        <v>48</v>
      </c>
      <c r="B33" s="375" t="s">
        <v>30</v>
      </c>
      <c r="C33" s="376"/>
      <c r="D33" s="376"/>
      <c r="E33" s="376"/>
      <c r="F33" s="329">
        <f aca="true" t="shared" si="8" ref="F33:O33">SUM(F40:F48)</f>
        <v>18823218</v>
      </c>
      <c r="G33" s="329">
        <f t="shared" si="8"/>
        <v>2297658.1</v>
      </c>
      <c r="H33" s="329">
        <f t="shared" si="8"/>
        <v>1125187</v>
      </c>
      <c r="I33" s="329">
        <f t="shared" si="8"/>
        <v>1170481</v>
      </c>
      <c r="J33" s="329">
        <f t="shared" si="8"/>
        <v>1257020</v>
      </c>
      <c r="K33" s="329">
        <f t="shared" si="8"/>
        <v>1390000</v>
      </c>
      <c r="L33" s="329">
        <f t="shared" si="8"/>
        <v>1690000</v>
      </c>
      <c r="M33" s="329">
        <f t="shared" si="8"/>
        <v>1640000</v>
      </c>
      <c r="N33" s="329">
        <f t="shared" si="8"/>
        <v>1440000</v>
      </c>
      <c r="O33" s="329">
        <f t="shared" si="8"/>
        <v>1540000</v>
      </c>
      <c r="P33" s="333">
        <f aca="true" t="shared" si="9" ref="P33:P48">SUM(G33:O33)</f>
        <v>13550346.1</v>
      </c>
    </row>
    <row r="34" spans="1:16" s="12" customFormat="1" ht="18" customHeight="1" hidden="1">
      <c r="A34" s="369"/>
      <c r="B34" s="334" t="s">
        <v>49</v>
      </c>
      <c r="C34" s="378" t="s">
        <v>37</v>
      </c>
      <c r="D34" s="381">
        <v>2020</v>
      </c>
      <c r="E34" s="381">
        <v>2021</v>
      </c>
      <c r="F34" s="335">
        <f aca="true" t="shared" si="10" ref="F34:M34">SUM(F35:F36)</f>
        <v>0</v>
      </c>
      <c r="G34" s="336">
        <f t="shared" si="10"/>
        <v>0</v>
      </c>
      <c r="H34" s="336">
        <f t="shared" si="10"/>
        <v>0</v>
      </c>
      <c r="I34" s="336">
        <f t="shared" si="10"/>
        <v>0</v>
      </c>
      <c r="J34" s="336">
        <f t="shared" si="10"/>
        <v>0</v>
      </c>
      <c r="K34" s="336">
        <f t="shared" si="10"/>
        <v>0</v>
      </c>
      <c r="L34" s="336">
        <f t="shared" si="10"/>
        <v>0</v>
      </c>
      <c r="M34" s="336">
        <f t="shared" si="10"/>
        <v>0</v>
      </c>
      <c r="N34" s="337"/>
      <c r="O34" s="337"/>
      <c r="P34" s="338">
        <f t="shared" si="9"/>
        <v>0</v>
      </c>
    </row>
    <row r="35" spans="1:16" s="9" customFormat="1" ht="15" customHeight="1" hidden="1" thickBot="1">
      <c r="A35" s="369"/>
      <c r="B35" s="339" t="s">
        <v>28</v>
      </c>
      <c r="C35" s="379"/>
      <c r="D35" s="382"/>
      <c r="E35" s="382"/>
      <c r="F35" s="340">
        <f>SUM(G35:M35)</f>
        <v>0</v>
      </c>
      <c r="G35" s="340">
        <v>0</v>
      </c>
      <c r="H35" s="340">
        <v>0</v>
      </c>
      <c r="I35" s="340">
        <v>0</v>
      </c>
      <c r="J35" s="340">
        <v>0</v>
      </c>
      <c r="K35" s="340">
        <v>0</v>
      </c>
      <c r="L35" s="340">
        <v>0</v>
      </c>
      <c r="M35" s="340">
        <v>0</v>
      </c>
      <c r="N35" s="337"/>
      <c r="O35" s="337"/>
      <c r="P35" s="288">
        <f t="shared" si="9"/>
        <v>0</v>
      </c>
    </row>
    <row r="36" spans="1:16" s="9" customFormat="1" ht="15" customHeight="1" hidden="1" thickBot="1">
      <c r="A36" s="377"/>
      <c r="B36" s="341" t="s">
        <v>30</v>
      </c>
      <c r="C36" s="380"/>
      <c r="D36" s="383"/>
      <c r="E36" s="383"/>
      <c r="F36" s="342">
        <f>SUM(G36:M36)</f>
        <v>0</v>
      </c>
      <c r="G36" s="342">
        <v>0</v>
      </c>
      <c r="H36" s="342">
        <v>0</v>
      </c>
      <c r="I36" s="342">
        <v>0</v>
      </c>
      <c r="J36" s="342">
        <v>0</v>
      </c>
      <c r="K36" s="342">
        <v>0</v>
      </c>
      <c r="L36" s="342"/>
      <c r="M36" s="342"/>
      <c r="N36" s="343"/>
      <c r="O36" s="343"/>
      <c r="P36" s="288">
        <f t="shared" si="9"/>
        <v>0</v>
      </c>
    </row>
    <row r="37" spans="1:16" s="9" customFormat="1" ht="27.75" customHeight="1" hidden="1">
      <c r="A37" s="368"/>
      <c r="B37" s="344" t="s">
        <v>50</v>
      </c>
      <c r="C37" s="370" t="s">
        <v>37</v>
      </c>
      <c r="D37" s="372">
        <v>2014</v>
      </c>
      <c r="E37" s="372">
        <v>2014</v>
      </c>
      <c r="F37" s="345">
        <f aca="true" t="shared" si="11" ref="F37:M37">SUM(F38:F39)</f>
        <v>0</v>
      </c>
      <c r="G37" s="346">
        <f t="shared" si="11"/>
        <v>0</v>
      </c>
      <c r="H37" s="346">
        <f t="shared" si="11"/>
        <v>0</v>
      </c>
      <c r="I37" s="346">
        <f t="shared" si="11"/>
        <v>0</v>
      </c>
      <c r="J37" s="346">
        <f t="shared" si="11"/>
        <v>0</v>
      </c>
      <c r="K37" s="346">
        <f t="shared" si="11"/>
        <v>0</v>
      </c>
      <c r="L37" s="346">
        <f t="shared" si="11"/>
        <v>0</v>
      </c>
      <c r="M37" s="346">
        <f t="shared" si="11"/>
        <v>0</v>
      </c>
      <c r="N37" s="347"/>
      <c r="O37" s="347"/>
      <c r="P37" s="288">
        <f t="shared" si="9"/>
        <v>0</v>
      </c>
    </row>
    <row r="38" spans="1:16" s="9" customFormat="1" ht="15" customHeight="1" hidden="1" thickBot="1">
      <c r="A38" s="369"/>
      <c r="B38" s="339" t="s">
        <v>28</v>
      </c>
      <c r="C38" s="371"/>
      <c r="D38" s="373"/>
      <c r="E38" s="373"/>
      <c r="F38" s="340">
        <f>SUM(G38:M38)</f>
        <v>0</v>
      </c>
      <c r="G38" s="340">
        <v>0</v>
      </c>
      <c r="H38" s="340">
        <v>0</v>
      </c>
      <c r="I38" s="340">
        <v>0</v>
      </c>
      <c r="J38" s="340">
        <v>0</v>
      </c>
      <c r="K38" s="340">
        <v>0</v>
      </c>
      <c r="L38" s="340">
        <v>0</v>
      </c>
      <c r="M38" s="340">
        <v>0</v>
      </c>
      <c r="N38" s="337"/>
      <c r="O38" s="337"/>
      <c r="P38" s="288">
        <f t="shared" si="9"/>
        <v>0</v>
      </c>
    </row>
    <row r="39" spans="1:16" s="9" customFormat="1" ht="15" customHeight="1" hidden="1" thickBot="1">
      <c r="A39" s="369"/>
      <c r="B39" s="341" t="s">
        <v>30</v>
      </c>
      <c r="C39" s="371"/>
      <c r="D39" s="374"/>
      <c r="E39" s="374"/>
      <c r="F39" s="342">
        <f>SUM(G39:M39)</f>
        <v>0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3"/>
      <c r="O39" s="343"/>
      <c r="P39" s="288">
        <f t="shared" si="9"/>
        <v>0</v>
      </c>
    </row>
    <row r="40" spans="1:16" s="11" customFormat="1" ht="40.5" customHeight="1">
      <c r="A40" s="348" t="s">
        <v>51</v>
      </c>
      <c r="B40" s="349" t="s">
        <v>474</v>
      </c>
      <c r="C40" s="305" t="s">
        <v>472</v>
      </c>
      <c r="D40" s="350">
        <v>2017</v>
      </c>
      <c r="E40" s="350">
        <v>2023</v>
      </c>
      <c r="F40" s="351">
        <v>4025200</v>
      </c>
      <c r="G40" s="308">
        <v>0</v>
      </c>
      <c r="H40" s="308">
        <v>0</v>
      </c>
      <c r="I40" s="308">
        <v>70000</v>
      </c>
      <c r="J40" s="308">
        <v>455200</v>
      </c>
      <c r="K40" s="308">
        <v>700000</v>
      </c>
      <c r="L40" s="308">
        <v>700000</v>
      </c>
      <c r="M40" s="308">
        <v>700000</v>
      </c>
      <c r="N40" s="308">
        <v>700000</v>
      </c>
      <c r="O40" s="308">
        <v>700000</v>
      </c>
      <c r="P40" s="288">
        <f t="shared" si="9"/>
        <v>4025200</v>
      </c>
    </row>
    <row r="41" spans="1:16" s="11" customFormat="1" ht="25.5">
      <c r="A41" s="352" t="s">
        <v>52</v>
      </c>
      <c r="B41" s="297" t="s">
        <v>475</v>
      </c>
      <c r="C41" s="298" t="s">
        <v>472</v>
      </c>
      <c r="D41" s="299">
        <v>2017</v>
      </c>
      <c r="E41" s="299">
        <v>2023</v>
      </c>
      <c r="F41" s="300">
        <v>2702320</v>
      </c>
      <c r="G41" s="301">
        <v>0</v>
      </c>
      <c r="H41" s="301" t="s">
        <v>66</v>
      </c>
      <c r="I41" s="301">
        <v>70000</v>
      </c>
      <c r="J41" s="303">
        <v>432320</v>
      </c>
      <c r="K41" s="301">
        <v>440000</v>
      </c>
      <c r="L41" s="301">
        <v>440000</v>
      </c>
      <c r="M41" s="301">
        <v>440000</v>
      </c>
      <c r="N41" s="301">
        <v>440000</v>
      </c>
      <c r="O41" s="301">
        <v>440000</v>
      </c>
      <c r="P41" s="288">
        <f t="shared" si="9"/>
        <v>2702320</v>
      </c>
    </row>
    <row r="42" spans="1:16" s="10" customFormat="1" ht="42.75" customHeight="1">
      <c r="A42" s="348" t="s">
        <v>53</v>
      </c>
      <c r="B42" s="297" t="s">
        <v>478</v>
      </c>
      <c r="C42" s="298" t="s">
        <v>476</v>
      </c>
      <c r="D42" s="299">
        <v>2010</v>
      </c>
      <c r="E42" s="299">
        <v>2023</v>
      </c>
      <c r="F42" s="300">
        <v>4000000</v>
      </c>
      <c r="G42" s="301">
        <v>1009560.1</v>
      </c>
      <c r="H42" s="301">
        <v>300000</v>
      </c>
      <c r="I42" s="301">
        <v>500000</v>
      </c>
      <c r="J42" s="301">
        <v>200000</v>
      </c>
      <c r="K42" s="301">
        <v>150000</v>
      </c>
      <c r="L42" s="301">
        <v>450000</v>
      </c>
      <c r="M42" s="301">
        <v>300000</v>
      </c>
      <c r="N42" s="301">
        <v>300000</v>
      </c>
      <c r="O42" s="301">
        <v>400000</v>
      </c>
      <c r="P42" s="288">
        <f t="shared" si="9"/>
        <v>3609560.1</v>
      </c>
    </row>
    <row r="43" spans="1:16" s="11" customFormat="1" ht="30.75" customHeight="1">
      <c r="A43" s="352" t="s">
        <v>54</v>
      </c>
      <c r="B43" s="297" t="s">
        <v>56</v>
      </c>
      <c r="C43" s="298" t="s">
        <v>37</v>
      </c>
      <c r="D43" s="299">
        <v>2007</v>
      </c>
      <c r="E43" s="299">
        <v>2017</v>
      </c>
      <c r="F43" s="300">
        <v>748924</v>
      </c>
      <c r="G43" s="303">
        <v>100054</v>
      </c>
      <c r="H43" s="303">
        <v>87300</v>
      </c>
      <c r="I43" s="303">
        <v>32467</v>
      </c>
      <c r="J43" s="301" t="s">
        <v>34</v>
      </c>
      <c r="K43" s="301" t="s">
        <v>34</v>
      </c>
      <c r="L43" s="301" t="s">
        <v>34</v>
      </c>
      <c r="M43" s="301" t="s">
        <v>34</v>
      </c>
      <c r="N43" s="301" t="s">
        <v>34</v>
      </c>
      <c r="O43" s="301" t="s">
        <v>34</v>
      </c>
      <c r="P43" s="353">
        <f t="shared" si="9"/>
        <v>219821</v>
      </c>
    </row>
    <row r="44" spans="1:16" s="11" customFormat="1" ht="141.75" customHeight="1">
      <c r="A44" s="348" t="s">
        <v>55</v>
      </c>
      <c r="B44" s="297" t="s">
        <v>57</v>
      </c>
      <c r="C44" s="298" t="s">
        <v>472</v>
      </c>
      <c r="D44" s="299">
        <v>2007</v>
      </c>
      <c r="E44" s="299">
        <v>2021</v>
      </c>
      <c r="F44" s="300">
        <v>1582500</v>
      </c>
      <c r="G44" s="303">
        <v>100000</v>
      </c>
      <c r="H44" s="303">
        <v>100000</v>
      </c>
      <c r="I44" s="303">
        <v>200000</v>
      </c>
      <c r="J44" s="303">
        <v>169500</v>
      </c>
      <c r="K44" s="303">
        <v>100000</v>
      </c>
      <c r="L44" s="303">
        <v>100000</v>
      </c>
      <c r="M44" s="303">
        <v>200000</v>
      </c>
      <c r="N44" s="301" t="s">
        <v>34</v>
      </c>
      <c r="O44" s="301" t="s">
        <v>34</v>
      </c>
      <c r="P44" s="288">
        <f t="shared" si="9"/>
        <v>969500</v>
      </c>
    </row>
    <row r="45" spans="1:16" s="11" customFormat="1" ht="28.5" customHeight="1">
      <c r="A45" s="348" t="s">
        <v>58</v>
      </c>
      <c r="B45" s="297" t="s">
        <v>60</v>
      </c>
      <c r="C45" s="298" t="s">
        <v>37</v>
      </c>
      <c r="D45" s="299">
        <v>2007</v>
      </c>
      <c r="E45" s="299">
        <v>2017</v>
      </c>
      <c r="F45" s="300">
        <v>3271193</v>
      </c>
      <c r="G45" s="303">
        <v>420824</v>
      </c>
      <c r="H45" s="303">
        <v>381074</v>
      </c>
      <c r="I45" s="303">
        <v>121201</v>
      </c>
      <c r="J45" s="301" t="s">
        <v>34</v>
      </c>
      <c r="K45" s="301" t="s">
        <v>34</v>
      </c>
      <c r="L45" s="301" t="s">
        <v>34</v>
      </c>
      <c r="M45" s="301" t="s">
        <v>34</v>
      </c>
      <c r="N45" s="301" t="s">
        <v>34</v>
      </c>
      <c r="O45" s="301" t="s">
        <v>34</v>
      </c>
      <c r="P45" s="288">
        <f t="shared" si="9"/>
        <v>923099</v>
      </c>
    </row>
    <row r="46" spans="1:16" s="11" customFormat="1" ht="42" customHeight="1">
      <c r="A46" s="352" t="s">
        <v>59</v>
      </c>
      <c r="B46" s="297" t="s">
        <v>62</v>
      </c>
      <c r="C46" s="298" t="s">
        <v>37</v>
      </c>
      <c r="D46" s="299">
        <v>2007</v>
      </c>
      <c r="E46" s="299">
        <v>2017</v>
      </c>
      <c r="F46" s="300">
        <v>963484</v>
      </c>
      <c r="G46" s="303">
        <v>123759</v>
      </c>
      <c r="H46" s="303">
        <v>111919</v>
      </c>
      <c r="I46" s="303">
        <v>35590</v>
      </c>
      <c r="J46" s="301" t="s">
        <v>34</v>
      </c>
      <c r="K46" s="301" t="s">
        <v>34</v>
      </c>
      <c r="L46" s="301" t="s">
        <v>34</v>
      </c>
      <c r="M46" s="301" t="s">
        <v>34</v>
      </c>
      <c r="N46" s="301" t="s">
        <v>34</v>
      </c>
      <c r="O46" s="301" t="s">
        <v>34</v>
      </c>
      <c r="P46" s="288">
        <f t="shared" si="9"/>
        <v>271268</v>
      </c>
    </row>
    <row r="47" spans="1:17" s="11" customFormat="1" ht="64.5" customHeight="1">
      <c r="A47" s="348" t="s">
        <v>61</v>
      </c>
      <c r="B47" s="297" t="s">
        <v>0</v>
      </c>
      <c r="C47" s="298" t="s">
        <v>37</v>
      </c>
      <c r="D47" s="299">
        <v>2014</v>
      </c>
      <c r="E47" s="299">
        <v>2015</v>
      </c>
      <c r="F47" s="300">
        <v>384475</v>
      </c>
      <c r="G47" s="303">
        <v>384475</v>
      </c>
      <c r="H47" s="301" t="s">
        <v>34</v>
      </c>
      <c r="I47" s="301" t="s">
        <v>34</v>
      </c>
      <c r="J47" s="301" t="s">
        <v>34</v>
      </c>
      <c r="K47" s="301" t="s">
        <v>34</v>
      </c>
      <c r="L47" s="301" t="s">
        <v>34</v>
      </c>
      <c r="M47" s="301" t="s">
        <v>34</v>
      </c>
      <c r="N47" s="301" t="s">
        <v>34</v>
      </c>
      <c r="O47" s="301" t="s">
        <v>34</v>
      </c>
      <c r="P47" s="288">
        <f t="shared" si="9"/>
        <v>384475</v>
      </c>
      <c r="Q47" s="24"/>
    </row>
    <row r="48" spans="1:16" s="11" customFormat="1" ht="42" customHeight="1" thickBot="1">
      <c r="A48" s="354" t="s">
        <v>63</v>
      </c>
      <c r="B48" s="355" t="s">
        <v>64</v>
      </c>
      <c r="C48" s="356" t="s">
        <v>37</v>
      </c>
      <c r="D48" s="357">
        <v>2008</v>
      </c>
      <c r="E48" s="357">
        <v>2017</v>
      </c>
      <c r="F48" s="358">
        <v>1145122</v>
      </c>
      <c r="G48" s="359">
        <v>158986</v>
      </c>
      <c r="H48" s="359">
        <v>144894</v>
      </c>
      <c r="I48" s="359">
        <v>141223</v>
      </c>
      <c r="J48" s="360" t="s">
        <v>34</v>
      </c>
      <c r="K48" s="360" t="s">
        <v>34</v>
      </c>
      <c r="L48" s="360" t="s">
        <v>34</v>
      </c>
      <c r="M48" s="360" t="s">
        <v>34</v>
      </c>
      <c r="N48" s="360" t="s">
        <v>34</v>
      </c>
      <c r="O48" s="360" t="s">
        <v>34</v>
      </c>
      <c r="P48" s="361">
        <f t="shared" si="9"/>
        <v>445103</v>
      </c>
    </row>
    <row r="49" spans="1:16" s="9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9" customFormat="1" ht="14.25">
      <c r="A50" s="367" t="s">
        <v>65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16" s="6" customFormat="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6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6" customFormat="1" ht="14.25" hidden="1">
      <c r="A53" s="18"/>
      <c r="B53" s="18"/>
      <c r="C53" s="18"/>
      <c r="D53" s="18"/>
      <c r="E53" s="18"/>
      <c r="F53" s="18"/>
      <c r="G53" s="19" t="e">
        <f>SUM(#REF!,#REF!,G35,G38,#REF!,#REF!,#REF!)</f>
        <v>#REF!</v>
      </c>
      <c r="H53" s="19" t="e">
        <f>SUM(#REF!,#REF!,H35,H38,#REF!,#REF!,#REF!)</f>
        <v>#REF!</v>
      </c>
      <c r="I53" s="19" t="e">
        <f>SUM(#REF!,#REF!,I35,I38,#REF!,#REF!,#REF!)</f>
        <v>#REF!</v>
      </c>
      <c r="J53" s="19" t="e">
        <f>SUM(#REF!,#REF!,J35,J38,#REF!,#REF!,#REF!)</f>
        <v>#REF!</v>
      </c>
      <c r="K53" s="19" t="e">
        <f>SUM(#REF!,#REF!,K35,K38,#REF!,#REF!,#REF!)</f>
        <v>#REF!</v>
      </c>
      <c r="L53" s="19" t="e">
        <f>SUM(#REF!,#REF!,L35,L38,#REF!,#REF!,#REF!)</f>
        <v>#REF!</v>
      </c>
      <c r="M53" s="19" t="e">
        <f>SUM(#REF!,#REF!,M35,M38,#REF!,#REF!,#REF!)</f>
        <v>#REF!</v>
      </c>
      <c r="N53" s="19"/>
      <c r="O53" s="19"/>
      <c r="P53" s="19" t="e">
        <f>SUM(#REF!,#REF!,P35,P38,#REF!,#REF!,#REF!)</f>
        <v>#REF!</v>
      </c>
    </row>
    <row r="54" spans="1:16" s="6" customFormat="1" ht="14.25" hidden="1">
      <c r="A54" s="18"/>
      <c r="B54" s="18"/>
      <c r="C54" s="18"/>
      <c r="D54" s="18"/>
      <c r="E54" s="18"/>
      <c r="F54" s="18"/>
      <c r="G54" s="19" t="e">
        <f>SUM(#REF!,#REF!,#REF!,#REF!,#REF!,#REF!,#REF!,#REF!,#REF!,#REF!,#REF!,#REF!,#REF!,#REF!,#REF!,#REF!,#REF!,#REF!,#REF!,#REF!,#REF!,#REF!,#REF!)</f>
        <v>#REF!</v>
      </c>
      <c r="H54" s="19" t="e">
        <f>SUM(#REF!,#REF!,#REF!,#REF!,#REF!,#REF!,#REF!,#REF!,#REF!,#REF!,#REF!,#REF!,#REF!,#REF!,#REF!,#REF!,#REF!,#REF!,#REF!,#REF!,#REF!,#REF!,#REF!)</f>
        <v>#REF!</v>
      </c>
      <c r="I54" s="19" t="e">
        <f>SUM(#REF!,#REF!,#REF!,#REF!,#REF!,#REF!,#REF!,#REF!,#REF!,#REF!,#REF!,#REF!,#REF!,#REF!,#REF!,#REF!,#REF!,#REF!,#REF!,#REF!,#REF!,#REF!,#REF!)</f>
        <v>#REF!</v>
      </c>
      <c r="J54" s="19" t="e">
        <f>SUM(#REF!,#REF!,#REF!,#REF!,#REF!,#REF!,#REF!,#REF!,#REF!,#REF!,#REF!,#REF!,#REF!,#REF!,#REF!,#REF!,#REF!,#REF!,#REF!,#REF!,#REF!,#REF!,#REF!)</f>
        <v>#REF!</v>
      </c>
      <c r="K54" s="19" t="e">
        <f>SUM(#REF!,#REF!,#REF!,#REF!,#REF!,#REF!,#REF!,#REF!,#REF!,#REF!,#REF!,#REF!,#REF!,#REF!,#REF!,#REF!,#REF!,#REF!,#REF!,#REF!,#REF!,#REF!,#REF!)</f>
        <v>#REF!</v>
      </c>
      <c r="L54" s="19" t="e">
        <f>SUM(#REF!,#REF!,#REF!,#REF!,#REF!,#REF!,#REF!,#REF!,#REF!,#REF!,#REF!,#REF!,#REF!,#REF!,#REF!,#REF!,#REF!,#REF!,#REF!,#REF!,#REF!,#REF!,#REF!)</f>
        <v>#REF!</v>
      </c>
      <c r="M54" s="19" t="e">
        <f>SUM(#REF!,#REF!,#REF!,#REF!,#REF!,#REF!,#REF!,#REF!,#REF!,#REF!,#REF!,#REF!,#REF!,#REF!,#REF!,#REF!,#REF!,#REF!,#REF!,#REF!,#REF!,#REF!,#REF!)</f>
        <v>#REF!</v>
      </c>
      <c r="N54" s="19"/>
      <c r="O54" s="19"/>
      <c r="P54" s="19" t="e">
        <f>SUM(#REF!,#REF!,#REF!,#REF!,#REF!,#REF!,#REF!,#REF!,#REF!,#REF!,#REF!,#REF!,#REF!,#REF!,#REF!,#REF!,#REF!,#REF!,#REF!,#REF!,#REF!,#REF!,#REF!)</f>
        <v>#REF!</v>
      </c>
    </row>
    <row r="55" spans="1:16" s="22" customFormat="1" ht="14.25" hidden="1">
      <c r="A55" s="20"/>
      <c r="B55" s="20"/>
      <c r="C55" s="20"/>
      <c r="D55" s="20"/>
      <c r="E55" s="20"/>
      <c r="F55" s="20"/>
      <c r="G55" s="21" t="e">
        <f aca="true" t="shared" si="12" ref="G55:M55">SUM(G53:G54)</f>
        <v>#REF!</v>
      </c>
      <c r="H55" s="21" t="e">
        <f t="shared" si="12"/>
        <v>#REF!</v>
      </c>
      <c r="I55" s="21" t="e">
        <f t="shared" si="12"/>
        <v>#REF!</v>
      </c>
      <c r="J55" s="21" t="e">
        <f t="shared" si="12"/>
        <v>#REF!</v>
      </c>
      <c r="K55" s="21" t="e">
        <f t="shared" si="12"/>
        <v>#REF!</v>
      </c>
      <c r="L55" s="21" t="e">
        <f t="shared" si="12"/>
        <v>#REF!</v>
      </c>
      <c r="M55" s="21" t="e">
        <f t="shared" si="12"/>
        <v>#REF!</v>
      </c>
      <c r="N55" s="21"/>
      <c r="O55" s="21"/>
      <c r="P55" s="21" t="e">
        <f>SUM(P53:P54)</f>
        <v>#REF!</v>
      </c>
    </row>
    <row r="56" spans="1:16" s="6" customFormat="1" ht="14.25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6" customFormat="1" ht="14.25" hidden="1">
      <c r="A57" s="18"/>
      <c r="B57" s="18"/>
      <c r="C57" s="18"/>
      <c r="D57" s="18"/>
      <c r="E57" s="18"/>
      <c r="F57" s="18"/>
      <c r="G57" s="19" t="e">
        <f>SUM(#REF!,#REF!,G36,G39,#REF!,#REF!,#REF!)</f>
        <v>#REF!</v>
      </c>
      <c r="H57" s="19" t="e">
        <f>SUM(#REF!,#REF!,H36,H39,#REF!,#REF!,#REF!)</f>
        <v>#REF!</v>
      </c>
      <c r="I57" s="19" t="e">
        <f>SUM(#REF!,#REF!,I36,I39,#REF!,#REF!,#REF!)</f>
        <v>#REF!</v>
      </c>
      <c r="J57" s="19" t="e">
        <f>SUM(#REF!,#REF!,J36,J39,#REF!,#REF!,#REF!)</f>
        <v>#REF!</v>
      </c>
      <c r="K57" s="19" t="e">
        <f>SUM(#REF!,#REF!,K36,K39,#REF!,#REF!,#REF!)</f>
        <v>#REF!</v>
      </c>
      <c r="L57" s="19" t="e">
        <f>SUM(#REF!,#REF!,L36,L39,#REF!,#REF!,#REF!)</f>
        <v>#REF!</v>
      </c>
      <c r="M57" s="19" t="e">
        <f>SUM(#REF!,#REF!,M36,M39,#REF!,#REF!,#REF!)</f>
        <v>#REF!</v>
      </c>
      <c r="N57" s="19"/>
      <c r="O57" s="19"/>
      <c r="P57" s="19" t="e">
        <f>SUM(#REF!,#REF!,P36,P39,#REF!,#REF!,#REF!)</f>
        <v>#REF!</v>
      </c>
    </row>
    <row r="58" spans="1:16" s="6" customFormat="1" ht="14.25" hidden="1">
      <c r="A58" s="18"/>
      <c r="B58" s="18"/>
      <c r="C58" s="18"/>
      <c r="D58" s="18"/>
      <c r="E58" s="18"/>
      <c r="F58" s="18"/>
      <c r="G58" s="19" t="e">
        <f>SUM(#REF!,#REF!,#REF!,#REF!,#REF!,#REF!,#REF!,#REF!,#REF!,#REF!,#REF!,#REF!,#REF!,#REF!,#REF!,#REF!,#REF!,#REF!,#REF!,#REF!,#REF!,#REF!,#REF!,#REF!,#REF!,#REF!)</f>
        <v>#REF!</v>
      </c>
      <c r="H58" s="19" t="e">
        <f>SUM(#REF!,#REF!,#REF!,#REF!,#REF!,#REF!,#REF!,#REF!,#REF!,#REF!,#REF!,#REF!,#REF!,#REF!,#REF!,#REF!,#REF!,#REF!,#REF!,#REF!,#REF!,#REF!,#REF!,#REF!,#REF!,#REF!)</f>
        <v>#REF!</v>
      </c>
      <c r="I58" s="19" t="e">
        <f>SUM(#REF!,#REF!,#REF!,#REF!,#REF!,#REF!,#REF!,#REF!,#REF!,#REF!,#REF!,#REF!,#REF!,#REF!,#REF!,#REF!,#REF!,#REF!,#REF!,#REF!,#REF!,#REF!,#REF!,#REF!,#REF!,#REF!)</f>
        <v>#REF!</v>
      </c>
      <c r="J58" s="19" t="e">
        <f>SUM(#REF!,#REF!,#REF!,#REF!,#REF!,#REF!,#REF!,#REF!,#REF!,#REF!,#REF!,#REF!,#REF!,#REF!,#REF!,#REF!,#REF!,#REF!,#REF!,#REF!,#REF!,#REF!,#REF!,#REF!,#REF!,#REF!)</f>
        <v>#REF!</v>
      </c>
      <c r="K58" s="19" t="e">
        <f>SUM(#REF!,#REF!,#REF!,#REF!,#REF!,#REF!,#REF!,#REF!,#REF!,#REF!,#REF!,#REF!,#REF!,#REF!,#REF!,#REF!,#REF!,#REF!,#REF!,#REF!,#REF!,#REF!,#REF!,#REF!,#REF!,#REF!)</f>
        <v>#REF!</v>
      </c>
      <c r="L58" s="19" t="e">
        <f>SUM(#REF!,#REF!,#REF!,#REF!,#REF!,#REF!,#REF!,#REF!,#REF!,#REF!,#REF!,#REF!,#REF!,#REF!,#REF!,#REF!,#REF!,#REF!,#REF!,#REF!,#REF!,#REF!,#REF!,#REF!,#REF!,#REF!)</f>
        <v>#REF!</v>
      </c>
      <c r="M58" s="19" t="e">
        <f>SUM(#REF!,#REF!,#REF!,#REF!,#REF!,#REF!,#REF!,#REF!,#REF!,#REF!,#REF!,#REF!,#REF!,#REF!,#REF!,#REF!,#REF!,#REF!,#REF!,#REF!,#REF!,#REF!,#REF!,#REF!,#REF!,#REF!)</f>
        <v>#REF!</v>
      </c>
      <c r="N58" s="19"/>
      <c r="O58" s="19"/>
      <c r="P58" s="19" t="e">
        <f>SUM(#REF!,#REF!,#REF!,#REF!,#REF!,#REF!,#REF!,#REF!,#REF!,#REF!,#REF!,#REF!,#REF!,#REF!,#REF!,#REF!,#REF!,#REF!,#REF!,#REF!,#REF!,#REF!,#REF!,#REF!,#REF!,#REF!)</f>
        <v>#REF!</v>
      </c>
    </row>
    <row r="59" spans="1:16" s="22" customFormat="1" ht="14.25" hidden="1">
      <c r="A59" s="20"/>
      <c r="B59" s="20"/>
      <c r="C59" s="20"/>
      <c r="D59" s="20"/>
      <c r="E59" s="20"/>
      <c r="F59" s="20"/>
      <c r="G59" s="21" t="e">
        <f aca="true" t="shared" si="13" ref="G59:M59">SUM(G57:G58)</f>
        <v>#REF!</v>
      </c>
      <c r="H59" s="21" t="e">
        <f t="shared" si="13"/>
        <v>#REF!</v>
      </c>
      <c r="I59" s="21" t="e">
        <f t="shared" si="13"/>
        <v>#REF!</v>
      </c>
      <c r="J59" s="21" t="e">
        <f t="shared" si="13"/>
        <v>#REF!</v>
      </c>
      <c r="K59" s="21" t="e">
        <f t="shared" si="13"/>
        <v>#REF!</v>
      </c>
      <c r="L59" s="21" t="e">
        <f t="shared" si="13"/>
        <v>#REF!</v>
      </c>
      <c r="M59" s="21" t="e">
        <f t="shared" si="13"/>
        <v>#REF!</v>
      </c>
      <c r="N59" s="21"/>
      <c r="O59" s="21"/>
      <c r="P59" s="21" t="e">
        <f>SUM(P57:P58)</f>
        <v>#REF!</v>
      </c>
    </row>
    <row r="60" spans="1:16" s="6" customFormat="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6" customFormat="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6" customFormat="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6" customFormat="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6" customFormat="1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6" customFormat="1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6" customFormat="1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6" customFormat="1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6" customFormat="1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s="6" customFormat="1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6" customFormat="1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6" customFormat="1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s="6" customFormat="1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6" customFormat="1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s="6" customFormat="1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6" customFormat="1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6" customFormat="1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6" customFormat="1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6" customFormat="1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6" customFormat="1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s="6" customFormat="1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</sheetData>
  <sheetProtection/>
  <mergeCells count="45">
    <mergeCell ref="B15:E15"/>
    <mergeCell ref="B12:E12"/>
    <mergeCell ref="F5:F6"/>
    <mergeCell ref="P5:P6"/>
    <mergeCell ref="B8:E8"/>
    <mergeCell ref="B9:E9"/>
    <mergeCell ref="B10:E10"/>
    <mergeCell ref="B11:E11"/>
    <mergeCell ref="G5:O5"/>
    <mergeCell ref="A22:A24"/>
    <mergeCell ref="C22:C24"/>
    <mergeCell ref="D22:D24"/>
    <mergeCell ref="E22:E24"/>
    <mergeCell ref="H1:P1"/>
    <mergeCell ref="A3:P3"/>
    <mergeCell ref="A5:A6"/>
    <mergeCell ref="B5:B6"/>
    <mergeCell ref="C5:C6"/>
    <mergeCell ref="D5:E5"/>
    <mergeCell ref="D28:D30"/>
    <mergeCell ref="E28:E30"/>
    <mergeCell ref="P28:P30"/>
    <mergeCell ref="B19:E19"/>
    <mergeCell ref="B20:E20"/>
    <mergeCell ref="B21:E21"/>
    <mergeCell ref="E34:E36"/>
    <mergeCell ref="B31:E31"/>
    <mergeCell ref="P22:P24"/>
    <mergeCell ref="A25:A27"/>
    <mergeCell ref="C25:C27"/>
    <mergeCell ref="D25:D27"/>
    <mergeCell ref="E25:E27"/>
    <mergeCell ref="P25:P27"/>
    <mergeCell ref="A28:A30"/>
    <mergeCell ref="C28:C30"/>
    <mergeCell ref="A50:P50"/>
    <mergeCell ref="A37:A39"/>
    <mergeCell ref="C37:C39"/>
    <mergeCell ref="D37:D39"/>
    <mergeCell ref="E37:E39"/>
    <mergeCell ref="B32:E32"/>
    <mergeCell ref="B33:E33"/>
    <mergeCell ref="A34:A36"/>
    <mergeCell ref="C34:C36"/>
    <mergeCell ref="D34:D36"/>
  </mergeCells>
  <printOptions horizontalCentered="1"/>
  <pageMargins left="0.15748031496062992" right="0.15748031496062992" top="0.5" bottom="0.35433070866141736" header="0.31496062992125984" footer="0.31496062992125984"/>
  <pageSetup horizontalDpi="600" verticalDpi="600" orientation="landscape" paperSize="9" scale="67" r:id="rId1"/>
  <rowBreaks count="1" manualBreakCount="1">
    <brk id="3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2015-04-23T12:20:08Z</dcterms:modified>
  <cp:category/>
  <cp:version/>
  <cp:contentType/>
  <cp:contentStatus/>
</cp:coreProperties>
</file>